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filterPrivacy="1" codeName="ThisWorkbook"/>
  <xr:revisionPtr revIDLastSave="0" documentId="13_ncr:1_{537CEB33-FD23-0046-BE0A-0C2B80912FD0}" xr6:coauthVersionLast="47" xr6:coauthVersionMax="47" xr10:uidLastSave="{00000000-0000-0000-0000-000000000000}"/>
  <bookViews>
    <workbookView xWindow="1660" yWindow="1100" windowWidth="32460" windowHeight="18200" activeTab="7" xr2:uid="{00000000-000D-0000-FFFF-FFFF00000000}"/>
  </bookViews>
  <sheets>
    <sheet name="Table A5.1 (LOI &lt; 2.5 wt. %)" sheetId="11" r:id="rId1"/>
    <sheet name="Table A5.1 (LOI &lt; 2 wt. %)" sheetId="12" r:id="rId2"/>
    <sheet name="Table A5.2" sheetId="13" r:id="rId3"/>
    <sheet name="Table A5.3" sheetId="14" r:id="rId4"/>
    <sheet name="Table A5.4" sheetId="15" r:id="rId5"/>
    <sheet name="Table A5.5 (Ap, GeoLabs)" sheetId="16" r:id="rId6"/>
    <sheet name="Table A5.5 (Amp, XPS)" sheetId="17" r:id="rId7"/>
    <sheet name="Table A.5.5 (Mt-IL, Ottawa)" sheetId="18" r:id="rId8"/>
  </sheets>
  <definedNames>
    <definedName name="_xlnm._FilterDatabase" localSheetId="1" hidden="1">'Table A5.1 (LOI &lt; 2 wt. %)'!$AF$2:$AF$66</definedName>
    <definedName name="_xlnm._FilterDatabase" localSheetId="0" hidden="1">'Table A5.1 (LOI &lt; 2.5 wt. %)'!$AH$2:$AH$96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83" i="17" l="1"/>
  <c r="Y83" i="17"/>
  <c r="X83" i="17"/>
  <c r="V83" i="17"/>
  <c r="T83" i="17"/>
  <c r="R83" i="17"/>
  <c r="M83" i="17"/>
  <c r="AF82" i="17"/>
  <c r="Y82" i="17"/>
  <c r="X82" i="17"/>
  <c r="W82" i="17"/>
  <c r="V82" i="17"/>
  <c r="U82" i="17"/>
  <c r="T82" i="17"/>
  <c r="R82" i="17"/>
  <c r="M82" i="17"/>
  <c r="Z81" i="17"/>
  <c r="U81" i="17"/>
  <c r="Z80" i="17"/>
  <c r="U80" i="17"/>
  <c r="Z79" i="17"/>
  <c r="U79" i="17"/>
  <c r="U83" i="17" s="1"/>
  <c r="Y74" i="17"/>
  <c r="Z74" i="17" s="1"/>
  <c r="Y73" i="17"/>
  <c r="Z73" i="17" s="1"/>
  <c r="Y72" i="17"/>
  <c r="Z72" i="17" s="1"/>
  <c r="Y71" i="17"/>
  <c r="Z71" i="17" s="1"/>
  <c r="Z70" i="17"/>
  <c r="Y70" i="17"/>
  <c r="Y69" i="17"/>
  <c r="Z69" i="17" s="1"/>
  <c r="Z68" i="17"/>
  <c r="Y68" i="17"/>
  <c r="Y67" i="17"/>
  <c r="Z67" i="17" s="1"/>
  <c r="Y66" i="17"/>
  <c r="Z66" i="17" s="1"/>
  <c r="Y65" i="17"/>
  <c r="Z65" i="17" s="1"/>
  <c r="AF63" i="17"/>
  <c r="X63" i="17"/>
  <c r="V63" i="17"/>
  <c r="T63" i="17"/>
  <c r="R63" i="17"/>
  <c r="AF62" i="17"/>
  <c r="X62" i="17"/>
  <c r="V62" i="17"/>
  <c r="T62" i="17"/>
  <c r="R62" i="17"/>
  <c r="V60" i="17"/>
  <c r="T60" i="17"/>
  <c r="R60" i="17"/>
  <c r="V59" i="17"/>
  <c r="T59" i="17"/>
  <c r="R59" i="17"/>
  <c r="Z58" i="17"/>
  <c r="Y58" i="17"/>
  <c r="U58" i="17"/>
  <c r="Y57" i="17"/>
  <c r="Z57" i="17" s="1"/>
  <c r="U57" i="17"/>
  <c r="Y56" i="17"/>
  <c r="Z56" i="17" s="1"/>
  <c r="U56" i="17"/>
  <c r="Y55" i="17"/>
  <c r="Z55" i="17" s="1"/>
  <c r="U55" i="17"/>
  <c r="Z54" i="17"/>
  <c r="Y54" i="17"/>
  <c r="U54" i="17"/>
  <c r="Z53" i="17"/>
  <c r="Y53" i="17"/>
  <c r="U53" i="17"/>
  <c r="Y52" i="17"/>
  <c r="Z52" i="17" s="1"/>
  <c r="U52" i="17"/>
  <c r="Y51" i="17"/>
  <c r="Z51" i="17" s="1"/>
  <c r="U51" i="17"/>
  <c r="Y50" i="17"/>
  <c r="Z50" i="17" s="1"/>
  <c r="U50" i="17"/>
  <c r="U60" i="17" s="1"/>
  <c r="Z49" i="17"/>
  <c r="Y49" i="17"/>
  <c r="Y60" i="17" s="1"/>
  <c r="U49" i="17"/>
  <c r="U59" i="17" s="1"/>
  <c r="V47" i="17"/>
  <c r="T47" i="17"/>
  <c r="R47" i="17"/>
  <c r="V46" i="17"/>
  <c r="T46" i="17"/>
  <c r="R46" i="17"/>
  <c r="Y45" i="17"/>
  <c r="Z45" i="17" s="1"/>
  <c r="U45" i="17"/>
  <c r="Z44" i="17"/>
  <c r="Y44" i="17"/>
  <c r="U44" i="17"/>
  <c r="Y43" i="17"/>
  <c r="Z43" i="17" s="1"/>
  <c r="U43" i="17"/>
  <c r="Y42" i="17"/>
  <c r="Z42" i="17" s="1"/>
  <c r="U42" i="17"/>
  <c r="Y41" i="17"/>
  <c r="Z41" i="17" s="1"/>
  <c r="U41" i="17"/>
  <c r="Y40" i="17"/>
  <c r="Z40" i="17" s="1"/>
  <c r="U40" i="17"/>
  <c r="Y39" i="17"/>
  <c r="Z39" i="17" s="1"/>
  <c r="U39" i="17"/>
  <c r="Y38" i="17"/>
  <c r="Z38" i="17" s="1"/>
  <c r="U38" i="17"/>
  <c r="Z37" i="17"/>
  <c r="Y37" i="17"/>
  <c r="U37" i="17"/>
  <c r="Y36" i="17"/>
  <c r="Z36" i="17" s="1"/>
  <c r="U36" i="17"/>
  <c r="Y35" i="17"/>
  <c r="Z35" i="17" s="1"/>
  <c r="U35" i="17"/>
  <c r="Z34" i="17"/>
  <c r="Y34" i="17"/>
  <c r="Y47" i="17" s="1"/>
  <c r="U34" i="17"/>
  <c r="U47" i="17" s="1"/>
  <c r="AF32" i="17"/>
  <c r="X32" i="17"/>
  <c r="V32" i="17"/>
  <c r="T32" i="17"/>
  <c r="S32" i="17"/>
  <c r="R32" i="17"/>
  <c r="AF31" i="17"/>
  <c r="X31" i="17"/>
  <c r="V31" i="17"/>
  <c r="T31" i="17"/>
  <c r="S31" i="17"/>
  <c r="R31" i="17"/>
  <c r="V29" i="17"/>
  <c r="T29" i="17"/>
  <c r="R29" i="17"/>
  <c r="V28" i="17"/>
  <c r="T28" i="17"/>
  <c r="R28" i="17"/>
  <c r="Y27" i="17"/>
  <c r="Z27" i="17" s="1"/>
  <c r="U27" i="17"/>
  <c r="Z26" i="17"/>
  <c r="Y26" i="17"/>
  <c r="U26" i="17"/>
  <c r="Z25" i="17"/>
  <c r="Y25" i="17"/>
  <c r="U25" i="17"/>
  <c r="Z24" i="17"/>
  <c r="Y24" i="17"/>
  <c r="U24" i="17"/>
  <c r="Y23" i="17"/>
  <c r="Z23" i="17" s="1"/>
  <c r="U23" i="17"/>
  <c r="Y22" i="17"/>
  <c r="Z22" i="17" s="1"/>
  <c r="U22" i="17"/>
  <c r="Y21" i="17"/>
  <c r="Z21" i="17" s="1"/>
  <c r="U21" i="17"/>
  <c r="Z20" i="17"/>
  <c r="Y20" i="17"/>
  <c r="Y29" i="17" s="1"/>
  <c r="U20" i="17"/>
  <c r="Y19" i="17"/>
  <c r="Z19" i="17" s="1"/>
  <c r="U19" i="17"/>
  <c r="Y18" i="17"/>
  <c r="Z18" i="17" s="1"/>
  <c r="U18" i="17"/>
  <c r="Y17" i="17"/>
  <c r="Z17" i="17" s="1"/>
  <c r="U17" i="17"/>
  <c r="Z16" i="17"/>
  <c r="Y16" i="17"/>
  <c r="Y28" i="17" s="1"/>
  <c r="U16" i="17"/>
  <c r="U28" i="17" s="1"/>
  <c r="V14" i="17"/>
  <c r="T14" i="17"/>
  <c r="R14" i="17"/>
  <c r="V13" i="17"/>
  <c r="T13" i="17"/>
  <c r="R13" i="17"/>
  <c r="Y12" i="17"/>
  <c r="Z12" i="17" s="1"/>
  <c r="U12" i="17"/>
  <c r="Z11" i="17"/>
  <c r="Y11" i="17"/>
  <c r="U11" i="17"/>
  <c r="Y10" i="17"/>
  <c r="Z10" i="17" s="1"/>
  <c r="U10" i="17"/>
  <c r="Y9" i="17"/>
  <c r="Z9" i="17" s="1"/>
  <c r="U9" i="17"/>
  <c r="Z8" i="17"/>
  <c r="Y8" i="17"/>
  <c r="U8" i="17"/>
  <c r="Y7" i="17"/>
  <c r="Z7" i="17" s="1"/>
  <c r="U7" i="17"/>
  <c r="Y6" i="17"/>
  <c r="Z6" i="17" s="1"/>
  <c r="U6" i="17"/>
  <c r="Y5" i="17"/>
  <c r="Y13" i="17" s="1"/>
  <c r="U5" i="17"/>
  <c r="U31" i="17" s="1"/>
  <c r="Z4" i="17"/>
  <c r="Y4" i="17"/>
  <c r="U4" i="17"/>
  <c r="Z3" i="17"/>
  <c r="Y3" i="17"/>
  <c r="Y32" i="17" s="1"/>
  <c r="U3" i="17"/>
  <c r="U32" i="17" s="1"/>
  <c r="P139" i="16"/>
  <c r="O139" i="16"/>
  <c r="P138" i="16"/>
  <c r="O138" i="16"/>
  <c r="AJ137" i="16"/>
  <c r="AI137" i="16"/>
  <c r="AH137" i="16"/>
  <c r="AB137" i="16"/>
  <c r="AA137" i="16"/>
  <c r="Z137" i="16"/>
  <c r="AC137" i="16" s="1"/>
  <c r="AJ136" i="16"/>
  <c r="AI136" i="16"/>
  <c r="AH136" i="16"/>
  <c r="AB136" i="16"/>
  <c r="AA136" i="16"/>
  <c r="T136" i="16"/>
  <c r="Z136" i="16" s="1"/>
  <c r="AC136" i="16" s="1"/>
  <c r="AJ135" i="16"/>
  <c r="AI135" i="16"/>
  <c r="AH135" i="16"/>
  <c r="AB135" i="16"/>
  <c r="AA135" i="16"/>
  <c r="Z135" i="16"/>
  <c r="AC135" i="16" s="1"/>
  <c r="AJ134" i="16"/>
  <c r="AI134" i="16"/>
  <c r="AH134" i="16"/>
  <c r="AG134" i="16"/>
  <c r="AB134" i="16"/>
  <c r="AA134" i="16"/>
  <c r="T134" i="16"/>
  <c r="T139" i="16" s="1"/>
  <c r="P133" i="16"/>
  <c r="O133" i="16"/>
  <c r="P132" i="16"/>
  <c r="O132" i="16"/>
  <c r="AJ131" i="16"/>
  <c r="AI131" i="16"/>
  <c r="AH131" i="16"/>
  <c r="AB131" i="16"/>
  <c r="AA131" i="16"/>
  <c r="T131" i="16"/>
  <c r="AJ130" i="16"/>
  <c r="AI130" i="16"/>
  <c r="AH130" i="16"/>
  <c r="AB130" i="16"/>
  <c r="AA130" i="16"/>
  <c r="T130" i="16"/>
  <c r="T132" i="16" s="1"/>
  <c r="AJ129" i="16"/>
  <c r="AI129" i="16"/>
  <c r="AH129" i="16"/>
  <c r="AB129" i="16"/>
  <c r="AA129" i="16"/>
  <c r="U129" i="16"/>
  <c r="T129" i="16"/>
  <c r="Z129" i="16" s="1"/>
  <c r="AC129" i="16" s="1"/>
  <c r="AJ128" i="16"/>
  <c r="AI128" i="16"/>
  <c r="AH128" i="16"/>
  <c r="AB128" i="16"/>
  <c r="AA128" i="16"/>
  <c r="U128" i="16"/>
  <c r="T128" i="16"/>
  <c r="AJ126" i="16"/>
  <c r="AI126" i="16"/>
  <c r="AH126" i="16"/>
  <c r="AA126" i="16"/>
  <c r="T126" i="16"/>
  <c r="AJ125" i="16"/>
  <c r="AI125" i="16"/>
  <c r="AH125" i="16"/>
  <c r="AA125" i="16"/>
  <c r="T124" i="16"/>
  <c r="P124" i="16"/>
  <c r="O124" i="16"/>
  <c r="T123" i="16"/>
  <c r="P123" i="16"/>
  <c r="O123" i="16"/>
  <c r="AJ122" i="16"/>
  <c r="AI122" i="16"/>
  <c r="AH122" i="16"/>
  <c r="AB122" i="16"/>
  <c r="AA122" i="16"/>
  <c r="AC122" i="16" s="1"/>
  <c r="U122" i="16"/>
  <c r="T122" i="16"/>
  <c r="AJ121" i="16"/>
  <c r="AI121" i="16"/>
  <c r="AH121" i="16"/>
  <c r="AB121" i="16"/>
  <c r="AA121" i="16"/>
  <c r="AC121" i="16" s="1"/>
  <c r="T121" i="16"/>
  <c r="U121" i="16" s="1"/>
  <c r="AJ120" i="16"/>
  <c r="AI120" i="16"/>
  <c r="AH120" i="16"/>
  <c r="AB120" i="16"/>
  <c r="AA120" i="16"/>
  <c r="AC120" i="16" s="1"/>
  <c r="U120" i="16"/>
  <c r="T120" i="16"/>
  <c r="AJ119" i="16"/>
  <c r="AI119" i="16"/>
  <c r="AH119" i="16"/>
  <c r="AB119" i="16"/>
  <c r="AC119" i="16" s="1"/>
  <c r="AA119" i="16"/>
  <c r="T119" i="16"/>
  <c r="U119" i="16" s="1"/>
  <c r="AJ118" i="16"/>
  <c r="AI118" i="16"/>
  <c r="AH118" i="16"/>
  <c r="AB118" i="16"/>
  <c r="AA118" i="16"/>
  <c r="AC118" i="16" s="1"/>
  <c r="U118" i="16"/>
  <c r="U124" i="16" s="1"/>
  <c r="T118" i="16"/>
  <c r="AJ116" i="16"/>
  <c r="AI116" i="16"/>
  <c r="AH116" i="16"/>
  <c r="AB116" i="16"/>
  <c r="AA116" i="16"/>
  <c r="Z116" i="16"/>
  <c r="AC116" i="16" s="1"/>
  <c r="T116" i="16"/>
  <c r="AJ115" i="16"/>
  <c r="AI115" i="16"/>
  <c r="AH115" i="16"/>
  <c r="AB115" i="16"/>
  <c r="AA115" i="16"/>
  <c r="Z115" i="16"/>
  <c r="AC115" i="16" s="1"/>
  <c r="AJ114" i="16"/>
  <c r="AI114" i="16"/>
  <c r="AH114" i="16"/>
  <c r="AB114" i="16"/>
  <c r="AA114" i="16"/>
  <c r="Z114" i="16"/>
  <c r="AC114" i="16" s="1"/>
  <c r="AJ113" i="16"/>
  <c r="AI113" i="16"/>
  <c r="AH113" i="16"/>
  <c r="AB113" i="16"/>
  <c r="AA113" i="16"/>
  <c r="Z113" i="16"/>
  <c r="AC113" i="16" s="1"/>
  <c r="AJ112" i="16"/>
  <c r="AI112" i="16"/>
  <c r="AH112" i="16"/>
  <c r="AB112" i="16"/>
  <c r="AA112" i="16"/>
  <c r="Z112" i="16"/>
  <c r="AC112" i="16" s="1"/>
  <c r="T111" i="16"/>
  <c r="AJ110" i="16"/>
  <c r="AI110" i="16"/>
  <c r="AH110" i="16"/>
  <c r="AB110" i="16"/>
  <c r="AA110" i="16"/>
  <c r="T110" i="16"/>
  <c r="Z110" i="16" s="1"/>
  <c r="AC110" i="16" s="1"/>
  <c r="AJ109" i="16"/>
  <c r="AI109" i="16"/>
  <c r="AH109" i="16"/>
  <c r="AB109" i="16"/>
  <c r="AA109" i="16"/>
  <c r="Z109" i="16"/>
  <c r="AC109" i="16" s="1"/>
  <c r="T109" i="16"/>
  <c r="AJ108" i="16"/>
  <c r="AI108" i="16"/>
  <c r="AH108" i="16"/>
  <c r="AB108" i="16"/>
  <c r="AA108" i="16"/>
  <c r="Z108" i="16"/>
  <c r="AC108" i="16" s="1"/>
  <c r="AJ107" i="16"/>
  <c r="AI107" i="16"/>
  <c r="AH107" i="16"/>
  <c r="AB107" i="16"/>
  <c r="AA107" i="16"/>
  <c r="Z107" i="16"/>
  <c r="AC107" i="16" s="1"/>
  <c r="AJ106" i="16"/>
  <c r="AI106" i="16"/>
  <c r="AH106" i="16"/>
  <c r="AB106" i="16"/>
  <c r="AA106" i="16"/>
  <c r="Z106" i="16"/>
  <c r="AC106" i="16" s="1"/>
  <c r="AJ105" i="16"/>
  <c r="AI105" i="16"/>
  <c r="AH105" i="16"/>
  <c r="AB105" i="16"/>
  <c r="AA105" i="16"/>
  <c r="Z105" i="16"/>
  <c r="AC105" i="16" s="1"/>
  <c r="AJ104" i="16"/>
  <c r="AI104" i="16"/>
  <c r="AH104" i="16"/>
  <c r="AB104" i="16"/>
  <c r="AA104" i="16"/>
  <c r="Z104" i="16"/>
  <c r="AC104" i="16" s="1"/>
  <c r="AJ103" i="16"/>
  <c r="AI103" i="16"/>
  <c r="AH103" i="16"/>
  <c r="AB103" i="16"/>
  <c r="AA103" i="16"/>
  <c r="Z103" i="16"/>
  <c r="AC103" i="16" s="1"/>
  <c r="AJ102" i="16"/>
  <c r="AI102" i="16"/>
  <c r="AH102" i="16"/>
  <c r="AB102" i="16"/>
  <c r="AA102" i="16"/>
  <c r="Z102" i="16"/>
  <c r="AC102" i="16" s="1"/>
  <c r="AJ101" i="16"/>
  <c r="AI101" i="16"/>
  <c r="AH101" i="16"/>
  <c r="AB101" i="16"/>
  <c r="AA101" i="16"/>
  <c r="Z101" i="16"/>
  <c r="AC101" i="16" s="1"/>
  <c r="AJ100" i="16"/>
  <c r="AI100" i="16"/>
  <c r="AH100" i="16"/>
  <c r="AB100" i="16"/>
  <c r="AA100" i="16"/>
  <c r="Z100" i="16"/>
  <c r="AC100" i="16" s="1"/>
  <c r="AJ99" i="16"/>
  <c r="AI99" i="16"/>
  <c r="AH99" i="16"/>
  <c r="AB99" i="16"/>
  <c r="AA99" i="16"/>
  <c r="Z99" i="16"/>
  <c r="AC99" i="16" s="1"/>
  <c r="AJ98" i="16"/>
  <c r="AI98" i="16"/>
  <c r="AH98" i="16"/>
  <c r="AB98" i="16"/>
  <c r="AA98" i="16"/>
  <c r="Z98" i="16"/>
  <c r="AC98" i="16" s="1"/>
  <c r="P96" i="16"/>
  <c r="O96" i="16"/>
  <c r="R95" i="16"/>
  <c r="P95" i="16"/>
  <c r="O95" i="16"/>
  <c r="AJ94" i="16"/>
  <c r="AI94" i="16"/>
  <c r="AH94" i="16"/>
  <c r="AB94" i="16"/>
  <c r="AA94" i="16"/>
  <c r="Z94" i="16"/>
  <c r="AC94" i="16" s="1"/>
  <c r="AJ93" i="16"/>
  <c r="AI93" i="16"/>
  <c r="AH93" i="16"/>
  <c r="AB93" i="16"/>
  <c r="AA93" i="16"/>
  <c r="Z93" i="16"/>
  <c r="AC93" i="16" s="1"/>
  <c r="AJ92" i="16"/>
  <c r="AI92" i="16"/>
  <c r="AH92" i="16"/>
  <c r="AB92" i="16"/>
  <c r="AA92" i="16"/>
  <c r="Z92" i="16"/>
  <c r="AC92" i="16" s="1"/>
  <c r="AJ91" i="16"/>
  <c r="AI91" i="16"/>
  <c r="AH91" i="16"/>
  <c r="AB91" i="16"/>
  <c r="AA91" i="16"/>
  <c r="Z91" i="16"/>
  <c r="AC91" i="16" s="1"/>
  <c r="AJ90" i="16"/>
  <c r="AI90" i="16"/>
  <c r="AH90" i="16"/>
  <c r="AB90" i="16"/>
  <c r="AA90" i="16"/>
  <c r="Z90" i="16"/>
  <c r="AC90" i="16" s="1"/>
  <c r="AJ89" i="16"/>
  <c r="AI89" i="16"/>
  <c r="AH89" i="16"/>
  <c r="AB89" i="16"/>
  <c r="AA89" i="16"/>
  <c r="Z89" i="16"/>
  <c r="AC89" i="16" s="1"/>
  <c r="AJ88" i="16"/>
  <c r="AI88" i="16"/>
  <c r="AH88" i="16"/>
  <c r="AB88" i="16"/>
  <c r="AC88" i="16" s="1"/>
  <c r="AA88" i="16"/>
  <c r="Z88" i="16"/>
  <c r="T88" i="16"/>
  <c r="AA86" i="16"/>
  <c r="Z86" i="16"/>
  <c r="AC86" i="16" s="1"/>
  <c r="AA85" i="16"/>
  <c r="Z85" i="16"/>
  <c r="AC85" i="16" s="1"/>
  <c r="AA84" i="16"/>
  <c r="Z84" i="16"/>
  <c r="AC84" i="16" s="1"/>
  <c r="AA83" i="16"/>
  <c r="Z83" i="16"/>
  <c r="AC83" i="16" s="1"/>
  <c r="P82" i="16"/>
  <c r="P81" i="16"/>
  <c r="AI80" i="16"/>
  <c r="AB80" i="16"/>
  <c r="AA80" i="16"/>
  <c r="Z80" i="16"/>
  <c r="AC80" i="16" s="1"/>
  <c r="AI79" i="16"/>
  <c r="AB79" i="16"/>
  <c r="AA79" i="16"/>
  <c r="Z79" i="16"/>
  <c r="AC79" i="16" s="1"/>
  <c r="AA78" i="16"/>
  <c r="Z78" i="16"/>
  <c r="AC78" i="16" s="1"/>
  <c r="AA77" i="16"/>
  <c r="AC77" i="16" s="1"/>
  <c r="Z77" i="16"/>
  <c r="AI75" i="16"/>
  <c r="AB75" i="16"/>
  <c r="AA75" i="16"/>
  <c r="Z75" i="16"/>
  <c r="AC75" i="16" s="1"/>
  <c r="AI74" i="16"/>
  <c r="AB74" i="16"/>
  <c r="AA74" i="16"/>
  <c r="Z74" i="16"/>
  <c r="AC74" i="16" s="1"/>
  <c r="AJ73" i="16"/>
  <c r="AI73" i="16"/>
  <c r="AH73" i="16"/>
  <c r="AB73" i="16"/>
  <c r="AC73" i="16" s="1"/>
  <c r="AA73" i="16"/>
  <c r="Z73" i="16"/>
  <c r="AA72" i="16"/>
  <c r="Z72" i="16"/>
  <c r="AC72" i="16" s="1"/>
  <c r="AA71" i="16"/>
  <c r="Z71" i="16"/>
  <c r="AC71" i="16" s="1"/>
  <c r="AJ69" i="16"/>
  <c r="AI69" i="16"/>
  <c r="AH69" i="16"/>
  <c r="AB69" i="16"/>
  <c r="AA69" i="16"/>
  <c r="Z69" i="16"/>
  <c r="AC69" i="16" s="1"/>
  <c r="P68" i="16"/>
  <c r="P67" i="16"/>
  <c r="AJ66" i="16"/>
  <c r="AI66" i="16"/>
  <c r="AH66" i="16"/>
  <c r="AB66" i="16"/>
  <c r="AA66" i="16"/>
  <c r="Z66" i="16"/>
  <c r="AC66" i="16" s="1"/>
  <c r="AA65" i="16"/>
  <c r="Z65" i="16"/>
  <c r="AC65" i="16" s="1"/>
  <c r="AA64" i="16"/>
  <c r="Z64" i="16"/>
  <c r="AC64" i="16" s="1"/>
  <c r="AA63" i="16"/>
  <c r="AC63" i="16" s="1"/>
  <c r="Z63" i="16"/>
  <c r="AA62" i="16"/>
  <c r="Z62" i="16"/>
  <c r="AC62" i="16" s="1"/>
  <c r="AJ61" i="16"/>
  <c r="AI61" i="16"/>
  <c r="AH61" i="16"/>
  <c r="AB61" i="16"/>
  <c r="AA61" i="16"/>
  <c r="Z61" i="16"/>
  <c r="AC61" i="16" s="1"/>
  <c r="AJ60" i="16"/>
  <c r="AI60" i="16"/>
  <c r="AH60" i="16"/>
  <c r="AB60" i="16"/>
  <c r="AC60" i="16" s="1"/>
  <c r="AA60" i="16"/>
  <c r="Z60" i="16"/>
  <c r="AA59" i="16"/>
  <c r="Z59" i="16"/>
  <c r="AC59" i="16" s="1"/>
  <c r="S57" i="16"/>
  <c r="Q57" i="16"/>
  <c r="P57" i="16"/>
  <c r="S56" i="16"/>
  <c r="Q56" i="16"/>
  <c r="P56" i="16"/>
  <c r="AB55" i="16"/>
  <c r="AA55" i="16"/>
  <c r="Z55" i="16"/>
  <c r="AC55" i="16" s="1"/>
  <c r="AJ54" i="16"/>
  <c r="AH54" i="16"/>
  <c r="AB54" i="16"/>
  <c r="AA54" i="16"/>
  <c r="Z54" i="16"/>
  <c r="AC54" i="16" s="1"/>
  <c r="AJ53" i="16"/>
  <c r="AI53" i="16"/>
  <c r="AH53" i="16"/>
  <c r="AB53" i="16"/>
  <c r="AA53" i="16"/>
  <c r="Z53" i="16"/>
  <c r="AC53" i="16" s="1"/>
  <c r="AJ52" i="16"/>
  <c r="AI52" i="16"/>
  <c r="AH52" i="16"/>
  <c r="AC52" i="16"/>
  <c r="AB52" i="16"/>
  <c r="AA52" i="16"/>
  <c r="Z52" i="16"/>
  <c r="AJ51" i="16"/>
  <c r="AI51" i="16"/>
  <c r="AH51" i="16"/>
  <c r="AB51" i="16"/>
  <c r="AA51" i="16"/>
  <c r="Z51" i="16"/>
  <c r="AC51" i="16" s="1"/>
  <c r="AJ50" i="16"/>
  <c r="AI50" i="16"/>
  <c r="AH50" i="16"/>
  <c r="AB50" i="16"/>
  <c r="AA50" i="16"/>
  <c r="AC50" i="16" s="1"/>
  <c r="Z50" i="16"/>
  <c r="AJ49" i="16"/>
  <c r="AI49" i="16"/>
  <c r="AH49" i="16"/>
  <c r="AB49" i="16"/>
  <c r="AA49" i="16"/>
  <c r="Z49" i="16"/>
  <c r="AC49" i="16" s="1"/>
  <c r="AB48" i="16"/>
  <c r="AA48" i="16"/>
  <c r="Z48" i="16"/>
  <c r="AC48" i="16" s="1"/>
  <c r="AB47" i="16"/>
  <c r="AA47" i="16"/>
  <c r="Z47" i="16"/>
  <c r="AC47" i="16" s="1"/>
  <c r="U14" i="17" l="1"/>
  <c r="U63" i="17"/>
  <c r="Y59" i="17"/>
  <c r="Y14" i="17"/>
  <c r="Y63" i="17"/>
  <c r="U46" i="17"/>
  <c r="Y31" i="17"/>
  <c r="U62" i="17"/>
  <c r="U13" i="17"/>
  <c r="Y46" i="17"/>
  <c r="Y62" i="17"/>
  <c r="Z5" i="17"/>
  <c r="U29" i="17"/>
  <c r="U123" i="16"/>
  <c r="Z128" i="16"/>
  <c r="AC128" i="16" s="1"/>
  <c r="U130" i="16"/>
  <c r="Z130" i="16" s="1"/>
  <c r="AC130" i="16" s="1"/>
  <c r="T133" i="16"/>
  <c r="U131" i="16"/>
  <c r="Z131" i="16" s="1"/>
  <c r="AC131" i="16" s="1"/>
  <c r="Z134" i="16"/>
  <c r="AC134" i="16" s="1"/>
  <c r="T138" i="16"/>
  <c r="U132" i="16" l="1"/>
  <c r="U133" i="16"/>
  <c r="C150" i="15" l="1"/>
  <c r="C149" i="15"/>
  <c r="E148" i="15"/>
  <c r="I145" i="15"/>
  <c r="G145" i="15"/>
  <c r="E145" i="15"/>
  <c r="D145" i="15"/>
  <c r="C145" i="15"/>
  <c r="I144" i="15"/>
  <c r="G144" i="15"/>
  <c r="E144" i="15"/>
  <c r="D144" i="15"/>
  <c r="C144" i="15"/>
  <c r="G126" i="15"/>
  <c r="E126" i="15"/>
  <c r="D126" i="15"/>
  <c r="C126" i="15"/>
  <c r="G125" i="15"/>
  <c r="E125" i="15"/>
  <c r="D125" i="15"/>
  <c r="C125" i="15"/>
  <c r="G107" i="15"/>
  <c r="E107" i="15"/>
  <c r="D107" i="15"/>
  <c r="C107" i="15"/>
  <c r="I106" i="15"/>
  <c r="G106" i="15"/>
  <c r="E106" i="15"/>
  <c r="D106" i="15"/>
  <c r="C106" i="15"/>
  <c r="I96" i="15"/>
  <c r="G96" i="15"/>
  <c r="E96" i="15"/>
  <c r="D96" i="15"/>
  <c r="C96" i="15"/>
  <c r="I95" i="15"/>
  <c r="G95" i="15"/>
  <c r="E95" i="15"/>
  <c r="D95" i="15"/>
  <c r="C95" i="15"/>
  <c r="G81" i="15"/>
  <c r="E81" i="15"/>
  <c r="D81" i="15"/>
  <c r="C81" i="15"/>
  <c r="G80" i="15"/>
  <c r="E80" i="15"/>
  <c r="D80" i="15"/>
  <c r="C80" i="15"/>
  <c r="G56" i="15"/>
  <c r="E56" i="15"/>
  <c r="D56" i="15"/>
  <c r="C56" i="15"/>
  <c r="G55" i="15"/>
  <c r="E55" i="15"/>
  <c r="D55" i="15"/>
  <c r="C55" i="15"/>
  <c r="I33" i="15"/>
  <c r="G33" i="15"/>
  <c r="E33" i="15"/>
  <c r="D33" i="15"/>
  <c r="C33" i="15"/>
  <c r="I32" i="15"/>
  <c r="G32" i="15"/>
  <c r="E32" i="15"/>
  <c r="D32" i="15"/>
  <c r="C32" i="15"/>
  <c r="G18" i="15"/>
  <c r="E18" i="15"/>
  <c r="D18" i="15"/>
  <c r="C18" i="15"/>
  <c r="G17" i="15"/>
  <c r="E17" i="15"/>
  <c r="D17" i="15"/>
  <c r="C17" i="15"/>
  <c r="J265" i="14" l="1"/>
  <c r="I265" i="14"/>
  <c r="H265" i="14"/>
  <c r="G265" i="14"/>
  <c r="F265" i="14"/>
  <c r="E265" i="14"/>
  <c r="D265" i="14"/>
  <c r="C265" i="14"/>
  <c r="J264" i="14"/>
  <c r="I264" i="14"/>
  <c r="H264" i="14"/>
  <c r="G264" i="14"/>
  <c r="F264" i="14"/>
  <c r="E264" i="14"/>
  <c r="D264" i="14"/>
  <c r="C264" i="14"/>
  <c r="J251" i="14"/>
  <c r="I251" i="14"/>
  <c r="H251" i="14"/>
  <c r="G251" i="14"/>
  <c r="F251" i="14"/>
  <c r="E251" i="14"/>
  <c r="D251" i="14"/>
  <c r="C251" i="14"/>
  <c r="J250" i="14"/>
  <c r="I250" i="14"/>
  <c r="H250" i="14"/>
  <c r="G250" i="14"/>
  <c r="F250" i="14"/>
  <c r="E250" i="14"/>
  <c r="D250" i="14"/>
  <c r="C250" i="14"/>
  <c r="J235" i="14"/>
  <c r="I235" i="14"/>
  <c r="H235" i="14"/>
  <c r="G235" i="14"/>
  <c r="F235" i="14"/>
  <c r="E235" i="14"/>
  <c r="D235" i="14"/>
  <c r="C235" i="14"/>
  <c r="J234" i="14"/>
  <c r="I234" i="14"/>
  <c r="H234" i="14"/>
  <c r="G234" i="14"/>
  <c r="F234" i="14"/>
  <c r="E234" i="14"/>
  <c r="D234" i="14"/>
  <c r="C234" i="14"/>
  <c r="J186" i="14"/>
  <c r="I186" i="14"/>
  <c r="H186" i="14"/>
  <c r="G186" i="14"/>
  <c r="F186" i="14"/>
  <c r="E186" i="14"/>
  <c r="D186" i="14"/>
  <c r="C186" i="14"/>
  <c r="J185" i="14"/>
  <c r="I185" i="14"/>
  <c r="H185" i="14"/>
  <c r="G185" i="14"/>
  <c r="F185" i="14"/>
  <c r="E185" i="14"/>
  <c r="D185" i="14"/>
  <c r="C185" i="14"/>
  <c r="J170" i="14"/>
  <c r="I170" i="14"/>
  <c r="H170" i="14"/>
  <c r="G170" i="14"/>
  <c r="F170" i="14"/>
  <c r="E170" i="14"/>
  <c r="D170" i="14"/>
  <c r="C170" i="14"/>
  <c r="J169" i="14"/>
  <c r="I169" i="14"/>
  <c r="H169" i="14"/>
  <c r="G169" i="14"/>
  <c r="F169" i="14"/>
  <c r="E169" i="14"/>
  <c r="D169" i="14"/>
  <c r="C169" i="14"/>
  <c r="P154" i="14"/>
  <c r="L154" i="14"/>
  <c r="P153" i="14"/>
  <c r="L153" i="14"/>
  <c r="Q151" i="14"/>
  <c r="P151" i="14"/>
  <c r="O151" i="14"/>
  <c r="N151" i="14"/>
  <c r="M151" i="14"/>
  <c r="L151" i="14"/>
  <c r="K151" i="14"/>
  <c r="J151" i="14"/>
  <c r="I151" i="14"/>
  <c r="H151" i="14"/>
  <c r="G151" i="14"/>
  <c r="F151" i="14"/>
  <c r="E151" i="14"/>
  <c r="D151" i="14"/>
  <c r="C151" i="14"/>
  <c r="Q150" i="14"/>
  <c r="P150" i="14"/>
  <c r="O150" i="14"/>
  <c r="N150" i="14"/>
  <c r="M150" i="14"/>
  <c r="L150" i="14"/>
  <c r="K150" i="14"/>
  <c r="J150" i="14"/>
  <c r="I150" i="14"/>
  <c r="H150" i="14"/>
  <c r="G150" i="14"/>
  <c r="F150" i="14"/>
  <c r="E150" i="14"/>
  <c r="D150" i="14"/>
  <c r="C150" i="14"/>
  <c r="B150" i="14"/>
  <c r="Q127" i="14"/>
  <c r="P127" i="14"/>
  <c r="O127" i="14"/>
  <c r="N127" i="14"/>
  <c r="M127" i="14"/>
  <c r="L127" i="14"/>
  <c r="K127" i="14"/>
  <c r="J127" i="14"/>
  <c r="I127" i="14"/>
  <c r="H127" i="14"/>
  <c r="G127" i="14"/>
  <c r="F127" i="14"/>
  <c r="E127" i="14"/>
  <c r="D127" i="14"/>
  <c r="C127" i="14"/>
  <c r="Q126" i="14"/>
  <c r="P126" i="14"/>
  <c r="O126" i="14"/>
  <c r="N126" i="14"/>
  <c r="M126" i="14"/>
  <c r="L126" i="14"/>
  <c r="K126" i="14"/>
  <c r="J126" i="14"/>
  <c r="I126" i="14"/>
  <c r="H126" i="14"/>
  <c r="G126" i="14"/>
  <c r="F126" i="14"/>
  <c r="E126" i="14"/>
  <c r="D126" i="14"/>
  <c r="C126" i="14"/>
  <c r="B126" i="14"/>
  <c r="Q111" i="14"/>
  <c r="P111" i="14"/>
  <c r="O111" i="14"/>
  <c r="N111" i="14"/>
  <c r="M111" i="14"/>
  <c r="L111" i="14"/>
  <c r="K111" i="14"/>
  <c r="J111" i="14"/>
  <c r="I111" i="14"/>
  <c r="H111" i="14"/>
  <c r="G111" i="14"/>
  <c r="F111" i="14"/>
  <c r="E111" i="14"/>
  <c r="D111" i="14"/>
  <c r="C111" i="14"/>
  <c r="Q110" i="14"/>
  <c r="P110" i="14"/>
  <c r="O110" i="14"/>
  <c r="N110" i="14"/>
  <c r="M110" i="14"/>
  <c r="L110" i="14"/>
  <c r="K110" i="14"/>
  <c r="J110" i="14"/>
  <c r="I110" i="14"/>
  <c r="H110" i="14"/>
  <c r="G110" i="14"/>
  <c r="F110" i="14"/>
  <c r="E110" i="14"/>
  <c r="D110" i="14"/>
  <c r="C110" i="14"/>
  <c r="B110" i="14"/>
  <c r="Q99" i="14"/>
  <c r="P99" i="14"/>
  <c r="O99" i="14"/>
  <c r="N99" i="14"/>
  <c r="M99" i="14"/>
  <c r="L99" i="14"/>
  <c r="K99" i="14"/>
  <c r="J99" i="14"/>
  <c r="I99" i="14"/>
  <c r="H99" i="14"/>
  <c r="G99" i="14"/>
  <c r="F99" i="14"/>
  <c r="E99" i="14"/>
  <c r="D99" i="14"/>
  <c r="C99" i="14"/>
  <c r="Q98" i="14"/>
  <c r="P98" i="14"/>
  <c r="O98" i="14"/>
  <c r="N98" i="14"/>
  <c r="M98" i="14"/>
  <c r="L98" i="14"/>
  <c r="K98" i="14"/>
  <c r="J98" i="14"/>
  <c r="I98" i="14"/>
  <c r="H98" i="14"/>
  <c r="G98" i="14"/>
  <c r="F98" i="14"/>
  <c r="E98" i="14"/>
  <c r="D98" i="14"/>
  <c r="C98" i="14"/>
  <c r="B98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CW340" i="13" l="1"/>
  <c r="CV340" i="13"/>
  <c r="CU340" i="13"/>
  <c r="CT340" i="13"/>
  <c r="CS340" i="13"/>
  <c r="CR340" i="13"/>
  <c r="CQ340" i="13"/>
  <c r="CP340" i="13"/>
  <c r="CO340" i="13"/>
  <c r="CN340" i="13"/>
  <c r="CA340" i="13" s="1"/>
  <c r="CM340" i="13"/>
  <c r="CL340" i="13"/>
  <c r="BX340" i="13" s="1"/>
  <c r="CK340" i="13"/>
  <c r="CJ340" i="13"/>
  <c r="CF340" i="13"/>
  <c r="CE340" i="13"/>
  <c r="CD340" i="13"/>
  <c r="CC340" i="13"/>
  <c r="CB340" i="13"/>
  <c r="CH340" i="13" s="1"/>
  <c r="BZ340" i="13"/>
  <c r="BY340" i="13"/>
  <c r="BW340" i="13"/>
  <c r="BV340" i="13"/>
  <c r="BU340" i="13"/>
  <c r="BT340" i="13"/>
  <c r="CW339" i="13"/>
  <c r="CV339" i="13"/>
  <c r="CU339" i="13"/>
  <c r="CT339" i="13"/>
  <c r="CS339" i="13"/>
  <c r="CR339" i="13"/>
  <c r="CQ339" i="13"/>
  <c r="CP339" i="13"/>
  <c r="CO339" i="13"/>
  <c r="CA339" i="13" s="1"/>
  <c r="CN339" i="13"/>
  <c r="CM339" i="13"/>
  <c r="CL339" i="13"/>
  <c r="CK339" i="13"/>
  <c r="BX339" i="13" s="1"/>
  <c r="CJ339" i="13"/>
  <c r="CH339" i="13"/>
  <c r="CF339" i="13"/>
  <c r="CE339" i="13"/>
  <c r="CD339" i="13"/>
  <c r="CC339" i="13"/>
  <c r="CB339" i="13"/>
  <c r="CG339" i="13" s="1"/>
  <c r="BZ339" i="13"/>
  <c r="BY339" i="13"/>
  <c r="BW339" i="13"/>
  <c r="BV339" i="13"/>
  <c r="BU339" i="13"/>
  <c r="BT339" i="13"/>
  <c r="CW338" i="13"/>
  <c r="CV338" i="13"/>
  <c r="CU338" i="13"/>
  <c r="CT338" i="13"/>
  <c r="CS338" i="13"/>
  <c r="CR338" i="13"/>
  <c r="CQ338" i="13"/>
  <c r="CP338" i="13"/>
  <c r="CO338" i="13"/>
  <c r="CA338" i="13" s="1"/>
  <c r="CN338" i="13"/>
  <c r="CM338" i="13"/>
  <c r="CL338" i="13"/>
  <c r="CK338" i="13"/>
  <c r="CG338" i="13"/>
  <c r="CF338" i="13"/>
  <c r="CE338" i="13"/>
  <c r="CD338" i="13"/>
  <c r="CC338" i="13"/>
  <c r="CB338" i="13"/>
  <c r="CH338" i="13" s="1"/>
  <c r="BZ338" i="13"/>
  <c r="BY338" i="13"/>
  <c r="BW338" i="13"/>
  <c r="BV338" i="13"/>
  <c r="BU338" i="13"/>
  <c r="BT338" i="13"/>
  <c r="CW337" i="13"/>
  <c r="CV337" i="13"/>
  <c r="CU337" i="13"/>
  <c r="CT337" i="13"/>
  <c r="CS337" i="13"/>
  <c r="CR337" i="13"/>
  <c r="CQ337" i="13"/>
  <c r="CP337" i="13"/>
  <c r="CO337" i="13"/>
  <c r="CN337" i="13"/>
  <c r="CM337" i="13"/>
  <c r="CL337" i="13"/>
  <c r="CK337" i="13"/>
  <c r="CJ337" i="13"/>
  <c r="CG337" i="13"/>
  <c r="CF337" i="13"/>
  <c r="CE337" i="13"/>
  <c r="CD337" i="13"/>
  <c r="CC337" i="13"/>
  <c r="CB337" i="13"/>
  <c r="CH337" i="13" s="1"/>
  <c r="CA337" i="13"/>
  <c r="BZ337" i="13"/>
  <c r="BY337" i="13"/>
  <c r="BW337" i="13"/>
  <c r="BV337" i="13"/>
  <c r="BU337" i="13"/>
  <c r="BT337" i="13"/>
  <c r="CW336" i="13"/>
  <c r="CV336" i="13"/>
  <c r="CU336" i="13"/>
  <c r="CT336" i="13"/>
  <c r="CS336" i="13"/>
  <c r="CR336" i="13"/>
  <c r="CQ336" i="13"/>
  <c r="CP336" i="13"/>
  <c r="CO336" i="13"/>
  <c r="CN336" i="13"/>
  <c r="CM336" i="13"/>
  <c r="CL336" i="13"/>
  <c r="CK336" i="13"/>
  <c r="CJ336" i="13"/>
  <c r="BX336" i="13" s="1"/>
  <c r="CG336" i="13"/>
  <c r="CF336" i="13"/>
  <c r="CE336" i="13"/>
  <c r="CD336" i="13"/>
  <c r="CC336" i="13"/>
  <c r="CH336" i="13" s="1"/>
  <c r="CB336" i="13"/>
  <c r="BZ336" i="13"/>
  <c r="BY336" i="13"/>
  <c r="BW336" i="13"/>
  <c r="BV336" i="13"/>
  <c r="BU336" i="13"/>
  <c r="BT336" i="13"/>
  <c r="CW335" i="13"/>
  <c r="CV335" i="13"/>
  <c r="CU335" i="13"/>
  <c r="CT335" i="13"/>
  <c r="CS335" i="13"/>
  <c r="CR335" i="13"/>
  <c r="CQ335" i="13"/>
  <c r="CP335" i="13"/>
  <c r="CO335" i="13"/>
  <c r="CN335" i="13"/>
  <c r="CM335" i="13"/>
  <c r="CL335" i="13"/>
  <c r="CK335" i="13"/>
  <c r="CJ335" i="13"/>
  <c r="CF335" i="13"/>
  <c r="CE335" i="13"/>
  <c r="CD335" i="13"/>
  <c r="CC335" i="13"/>
  <c r="CB335" i="13"/>
  <c r="CA335" i="13"/>
  <c r="BZ335" i="13"/>
  <c r="BY335" i="13"/>
  <c r="BW335" i="13"/>
  <c r="BV335" i="13"/>
  <c r="BU335" i="13"/>
  <c r="BT335" i="13"/>
  <c r="CW334" i="13"/>
  <c r="CV334" i="13"/>
  <c r="CU334" i="13"/>
  <c r="CT334" i="13"/>
  <c r="CS334" i="13"/>
  <c r="CR334" i="13"/>
  <c r="CQ334" i="13"/>
  <c r="CP334" i="13"/>
  <c r="CA334" i="13" s="1"/>
  <c r="CO334" i="13"/>
  <c r="CN334" i="13"/>
  <c r="CM334" i="13"/>
  <c r="CL334" i="13"/>
  <c r="CK334" i="13"/>
  <c r="CJ334" i="13"/>
  <c r="CF334" i="13"/>
  <c r="CE334" i="13"/>
  <c r="CD334" i="13"/>
  <c r="CC334" i="13"/>
  <c r="CB334" i="13"/>
  <c r="CH334" i="13" s="1"/>
  <c r="BZ334" i="13"/>
  <c r="BY334" i="13"/>
  <c r="BX334" i="13"/>
  <c r="BW334" i="13"/>
  <c r="BV334" i="13"/>
  <c r="BU334" i="13"/>
  <c r="BT334" i="13"/>
  <c r="CW333" i="13"/>
  <c r="CV333" i="13"/>
  <c r="CU333" i="13"/>
  <c r="CT333" i="13"/>
  <c r="CS333" i="13"/>
  <c r="CR333" i="13"/>
  <c r="CQ333" i="13"/>
  <c r="CP333" i="13"/>
  <c r="CO333" i="13"/>
  <c r="CA333" i="13" s="1"/>
  <c r="CN333" i="13"/>
  <c r="CM333" i="13"/>
  <c r="CL333" i="13"/>
  <c r="BX333" i="13" s="1"/>
  <c r="CK333" i="13"/>
  <c r="CJ333" i="13"/>
  <c r="CG333" i="13"/>
  <c r="CF333" i="13"/>
  <c r="CE333" i="13"/>
  <c r="CD333" i="13"/>
  <c r="CC333" i="13"/>
  <c r="CH333" i="13" s="1"/>
  <c r="CB333" i="13"/>
  <c r="BZ333" i="13"/>
  <c r="BY333" i="13"/>
  <c r="BW333" i="13"/>
  <c r="BV333" i="13"/>
  <c r="BU333" i="13"/>
  <c r="BT333" i="13"/>
  <c r="CW332" i="13"/>
  <c r="CV332" i="13"/>
  <c r="CU332" i="13"/>
  <c r="CT332" i="13"/>
  <c r="CS332" i="13"/>
  <c r="CR332" i="13"/>
  <c r="CQ332" i="13"/>
  <c r="CP332" i="13"/>
  <c r="CO332" i="13"/>
  <c r="CA332" i="13" s="1"/>
  <c r="CN332" i="13"/>
  <c r="CM332" i="13"/>
  <c r="CL332" i="13"/>
  <c r="CK332" i="13"/>
  <c r="BX332" i="13" s="1"/>
  <c r="CJ332" i="13"/>
  <c r="CH332" i="13"/>
  <c r="CF332" i="13"/>
  <c r="CE332" i="13"/>
  <c r="CD332" i="13"/>
  <c r="CC332" i="13"/>
  <c r="CB332" i="13"/>
  <c r="CG332" i="13" s="1"/>
  <c r="BZ332" i="13"/>
  <c r="BY332" i="13"/>
  <c r="BW332" i="13"/>
  <c r="BV332" i="13"/>
  <c r="BU332" i="13"/>
  <c r="BT332" i="13"/>
  <c r="CW331" i="13"/>
  <c r="CV331" i="13"/>
  <c r="CU331" i="13"/>
  <c r="CT331" i="13"/>
  <c r="CS331" i="13"/>
  <c r="CR331" i="13"/>
  <c r="CQ331" i="13"/>
  <c r="CP331" i="13"/>
  <c r="CO331" i="13"/>
  <c r="CN331" i="13"/>
  <c r="CM331" i="13"/>
  <c r="CL331" i="13"/>
  <c r="CK331" i="13"/>
  <c r="CJ331" i="13"/>
  <c r="CH331" i="13"/>
  <c r="CG331" i="13"/>
  <c r="CF331" i="13"/>
  <c r="CE331" i="13"/>
  <c r="CD331" i="13"/>
  <c r="CC331" i="13"/>
  <c r="CB331" i="13"/>
  <c r="BZ331" i="13"/>
  <c r="BY331" i="13"/>
  <c r="BX331" i="13"/>
  <c r="BW331" i="13"/>
  <c r="BV331" i="13"/>
  <c r="BU331" i="13"/>
  <c r="BT331" i="13"/>
  <c r="CW330" i="13"/>
  <c r="CV330" i="13"/>
  <c r="CU330" i="13"/>
  <c r="CT330" i="13"/>
  <c r="CS330" i="13"/>
  <c r="CR330" i="13"/>
  <c r="CQ330" i="13"/>
  <c r="CP330" i="13"/>
  <c r="CO330" i="13"/>
  <c r="CN330" i="13"/>
  <c r="CM330" i="13"/>
  <c r="CL330" i="13"/>
  <c r="BX330" i="13" s="1"/>
  <c r="CK330" i="13"/>
  <c r="CJ330" i="13"/>
  <c r="CF330" i="13"/>
  <c r="CE330" i="13"/>
  <c r="CD330" i="13"/>
  <c r="CC330" i="13"/>
  <c r="CB330" i="13"/>
  <c r="CH330" i="13" s="1"/>
  <c r="CA330" i="13"/>
  <c r="BZ330" i="13"/>
  <c r="BY330" i="13"/>
  <c r="BW330" i="13"/>
  <c r="BV330" i="13"/>
  <c r="BU330" i="13"/>
  <c r="BT330" i="13"/>
  <c r="CW329" i="13"/>
  <c r="CV329" i="13"/>
  <c r="CU329" i="13"/>
  <c r="CT329" i="13"/>
  <c r="CS329" i="13"/>
  <c r="CR329" i="13"/>
  <c r="CQ329" i="13"/>
  <c r="CP329" i="13"/>
  <c r="CO329" i="13"/>
  <c r="CA329" i="13" s="1"/>
  <c r="CN329" i="13"/>
  <c r="CM329" i="13"/>
  <c r="CL329" i="13"/>
  <c r="CK329" i="13"/>
  <c r="CJ329" i="13"/>
  <c r="CF329" i="13"/>
  <c r="CE329" i="13"/>
  <c r="CD329" i="13"/>
  <c r="CC329" i="13"/>
  <c r="CB329" i="13"/>
  <c r="CG329" i="13" s="1"/>
  <c r="BZ329" i="13"/>
  <c r="BY329" i="13"/>
  <c r="BX329" i="13"/>
  <c r="BW329" i="13"/>
  <c r="BV329" i="13"/>
  <c r="BU329" i="13"/>
  <c r="BT329" i="13"/>
  <c r="CW328" i="13"/>
  <c r="CV328" i="13"/>
  <c r="CU328" i="13"/>
  <c r="CT328" i="13"/>
  <c r="CS328" i="13"/>
  <c r="CR328" i="13"/>
  <c r="CQ328" i="13"/>
  <c r="CP328" i="13"/>
  <c r="CO328" i="13"/>
  <c r="CN328" i="13"/>
  <c r="CM328" i="13"/>
  <c r="CL328" i="13"/>
  <c r="CK328" i="13"/>
  <c r="CG328" i="13"/>
  <c r="CF328" i="13"/>
  <c r="CE328" i="13"/>
  <c r="CD328" i="13"/>
  <c r="CC328" i="13"/>
  <c r="CH328" i="13" s="1"/>
  <c r="CB328" i="13"/>
  <c r="CA328" i="13"/>
  <c r="BZ328" i="13"/>
  <c r="BY328" i="13"/>
  <c r="BW328" i="13"/>
  <c r="BV328" i="13"/>
  <c r="BU328" i="13"/>
  <c r="BT328" i="13"/>
  <c r="CW327" i="13"/>
  <c r="CV327" i="13"/>
  <c r="CU327" i="13"/>
  <c r="CT327" i="13"/>
  <c r="CS327" i="13"/>
  <c r="CR327" i="13"/>
  <c r="CQ327" i="13"/>
  <c r="CP327" i="13"/>
  <c r="CO327" i="13"/>
  <c r="CN327" i="13"/>
  <c r="CM327" i="13"/>
  <c r="CL327" i="13"/>
  <c r="CK327" i="13"/>
  <c r="CF327" i="13"/>
  <c r="CE327" i="13"/>
  <c r="CD327" i="13"/>
  <c r="CC327" i="13"/>
  <c r="CB327" i="13"/>
  <c r="CH327" i="13" s="1"/>
  <c r="CA327" i="13"/>
  <c r="BZ327" i="13"/>
  <c r="BY327" i="13"/>
  <c r="BW327" i="13"/>
  <c r="BV327" i="13"/>
  <c r="BU327" i="13"/>
  <c r="BT327" i="13"/>
  <c r="CW326" i="13"/>
  <c r="CV326" i="13"/>
  <c r="CU326" i="13"/>
  <c r="CT326" i="13"/>
  <c r="CS326" i="13"/>
  <c r="CR326" i="13"/>
  <c r="CQ326" i="13"/>
  <c r="CP326" i="13"/>
  <c r="CO326" i="13"/>
  <c r="CA326" i="13" s="1"/>
  <c r="CN326" i="13"/>
  <c r="CM326" i="13"/>
  <c r="CL326" i="13"/>
  <c r="CK326" i="13"/>
  <c r="CF326" i="13"/>
  <c r="CE326" i="13"/>
  <c r="CD326" i="13"/>
  <c r="CC326" i="13"/>
  <c r="CB326" i="13"/>
  <c r="CH326" i="13" s="1"/>
  <c r="BZ326" i="13"/>
  <c r="BY326" i="13"/>
  <c r="BW326" i="13"/>
  <c r="BV326" i="13"/>
  <c r="BU326" i="13"/>
  <c r="BT326" i="13"/>
  <c r="CW325" i="13"/>
  <c r="CV325" i="13"/>
  <c r="CU325" i="13"/>
  <c r="CT325" i="13"/>
  <c r="CS325" i="13"/>
  <c r="CR325" i="13"/>
  <c r="CQ325" i="13"/>
  <c r="CP325" i="13"/>
  <c r="CO325" i="13"/>
  <c r="CA325" i="13" s="1"/>
  <c r="CN325" i="13"/>
  <c r="CM325" i="13"/>
  <c r="CL325" i="13"/>
  <c r="CK325" i="13"/>
  <c r="CJ325" i="13"/>
  <c r="CH325" i="13"/>
  <c r="CF325" i="13"/>
  <c r="CE325" i="13"/>
  <c r="CD325" i="13"/>
  <c r="CC325" i="13"/>
  <c r="CB325" i="13"/>
  <c r="CG325" i="13" s="1"/>
  <c r="BZ325" i="13"/>
  <c r="BY325" i="13"/>
  <c r="BX325" i="13"/>
  <c r="BW325" i="13"/>
  <c r="BV325" i="13"/>
  <c r="BU325" i="13"/>
  <c r="BT325" i="13"/>
  <c r="CW324" i="13"/>
  <c r="CV324" i="13"/>
  <c r="CU324" i="13"/>
  <c r="CT324" i="13"/>
  <c r="CS324" i="13"/>
  <c r="CR324" i="13"/>
  <c r="CQ324" i="13"/>
  <c r="CP324" i="13"/>
  <c r="CO324" i="13"/>
  <c r="CN324" i="13"/>
  <c r="CM324" i="13"/>
  <c r="CL324" i="13"/>
  <c r="CK324" i="13"/>
  <c r="CJ324" i="13"/>
  <c r="CW323" i="13"/>
  <c r="CV323" i="13"/>
  <c r="CU323" i="13"/>
  <c r="CT323" i="13"/>
  <c r="CS323" i="13"/>
  <c r="CR323" i="13"/>
  <c r="CQ323" i="13"/>
  <c r="CP323" i="13"/>
  <c r="CO323" i="13"/>
  <c r="CA323" i="13" s="1"/>
  <c r="CN323" i="13"/>
  <c r="CM323" i="13"/>
  <c r="CL323" i="13"/>
  <c r="CK323" i="13"/>
  <c r="BX323" i="13" s="1"/>
  <c r="CJ323" i="13"/>
  <c r="CF323" i="13"/>
  <c r="CE323" i="13"/>
  <c r="CD323" i="13"/>
  <c r="CC323" i="13"/>
  <c r="CB323" i="13"/>
  <c r="CH323" i="13" s="1"/>
  <c r="BZ323" i="13"/>
  <c r="BY323" i="13"/>
  <c r="BW323" i="13"/>
  <c r="BV323" i="13"/>
  <c r="BU323" i="13"/>
  <c r="BT323" i="13"/>
  <c r="CW322" i="13"/>
  <c r="CV322" i="13"/>
  <c r="CU322" i="13"/>
  <c r="CT322" i="13"/>
  <c r="CS322" i="13"/>
  <c r="CR322" i="13"/>
  <c r="CQ322" i="13"/>
  <c r="CP322" i="13"/>
  <c r="CA322" i="13" s="1"/>
  <c r="CO322" i="13"/>
  <c r="CN322" i="13"/>
  <c r="CM322" i="13"/>
  <c r="CL322" i="13"/>
  <c r="CK322" i="13"/>
  <c r="BX322" i="13" s="1"/>
  <c r="CJ322" i="13"/>
  <c r="CH322" i="13"/>
  <c r="CG322" i="13"/>
  <c r="CF322" i="13"/>
  <c r="CE322" i="13"/>
  <c r="CD322" i="13"/>
  <c r="CC322" i="13"/>
  <c r="CB322" i="13"/>
  <c r="BZ322" i="13"/>
  <c r="BY322" i="13"/>
  <c r="BW322" i="13"/>
  <c r="BV322" i="13"/>
  <c r="BU322" i="13"/>
  <c r="BT322" i="13"/>
  <c r="CW321" i="13"/>
  <c r="CV321" i="13"/>
  <c r="CU321" i="13"/>
  <c r="CT321" i="13"/>
  <c r="CS321" i="13"/>
  <c r="CR321" i="13"/>
  <c r="CQ321" i="13"/>
  <c r="CP321" i="13"/>
  <c r="CO321" i="13"/>
  <c r="CN321" i="13"/>
  <c r="CA321" i="13" s="1"/>
  <c r="CM321" i="13"/>
  <c r="CL321" i="13"/>
  <c r="CK321" i="13"/>
  <c r="CJ321" i="13"/>
  <c r="CG321" i="13"/>
  <c r="CF321" i="13"/>
  <c r="CE321" i="13"/>
  <c r="CD321" i="13"/>
  <c r="CC321" i="13"/>
  <c r="CB321" i="13"/>
  <c r="CH321" i="13" s="1"/>
  <c r="BZ321" i="13"/>
  <c r="BY321" i="13"/>
  <c r="BX321" i="13"/>
  <c r="BW321" i="13"/>
  <c r="BV321" i="13"/>
  <c r="BU321" i="13"/>
  <c r="BT321" i="13"/>
  <c r="CW320" i="13"/>
  <c r="CV320" i="13"/>
  <c r="CU320" i="13"/>
  <c r="CT320" i="13"/>
  <c r="CS320" i="13"/>
  <c r="CR320" i="13"/>
  <c r="CQ320" i="13"/>
  <c r="CP320" i="13"/>
  <c r="CO320" i="13"/>
  <c r="CA320" i="13" s="1"/>
  <c r="CN320" i="13"/>
  <c r="CM320" i="13"/>
  <c r="CL320" i="13"/>
  <c r="CK320" i="13"/>
  <c r="BX320" i="13" s="1"/>
  <c r="CJ320" i="13"/>
  <c r="CF320" i="13"/>
  <c r="CE320" i="13"/>
  <c r="CD320" i="13"/>
  <c r="CC320" i="13"/>
  <c r="CB320" i="13"/>
  <c r="CG320" i="13" s="1"/>
  <c r="BZ320" i="13"/>
  <c r="BY320" i="13"/>
  <c r="BW320" i="13"/>
  <c r="BV320" i="13"/>
  <c r="BU320" i="13"/>
  <c r="BT320" i="13"/>
  <c r="CW319" i="13"/>
  <c r="CV319" i="13"/>
  <c r="CU319" i="13"/>
  <c r="CT319" i="13"/>
  <c r="CS319" i="13"/>
  <c r="CR319" i="13"/>
  <c r="CQ319" i="13"/>
  <c r="CP319" i="13"/>
  <c r="CO319" i="13"/>
  <c r="CA319" i="13" s="1"/>
  <c r="CN319" i="13"/>
  <c r="CM319" i="13"/>
  <c r="CL319" i="13"/>
  <c r="CK319" i="13"/>
  <c r="CJ319" i="13"/>
  <c r="CH319" i="13"/>
  <c r="CG319" i="13"/>
  <c r="CF319" i="13"/>
  <c r="CE319" i="13"/>
  <c r="CD319" i="13"/>
  <c r="CC319" i="13"/>
  <c r="CB319" i="13"/>
  <c r="BZ319" i="13"/>
  <c r="BY319" i="13"/>
  <c r="BX319" i="13"/>
  <c r="BW319" i="13"/>
  <c r="BV319" i="13"/>
  <c r="BU319" i="13"/>
  <c r="BT319" i="13"/>
  <c r="CW318" i="13"/>
  <c r="CV318" i="13"/>
  <c r="CU318" i="13"/>
  <c r="CT318" i="13"/>
  <c r="CS318" i="13"/>
  <c r="CR318" i="13"/>
  <c r="CQ318" i="13"/>
  <c r="CP318" i="13"/>
  <c r="CO318" i="13"/>
  <c r="CN318" i="13"/>
  <c r="CM318" i="13"/>
  <c r="CL318" i="13"/>
  <c r="CK318" i="13"/>
  <c r="BX318" i="13" s="1"/>
  <c r="CJ318" i="13"/>
  <c r="CF318" i="13"/>
  <c r="CE318" i="13"/>
  <c r="CD318" i="13"/>
  <c r="CC318" i="13"/>
  <c r="CB318" i="13"/>
  <c r="CG318" i="13" s="1"/>
  <c r="BZ318" i="13"/>
  <c r="BY318" i="13"/>
  <c r="BW318" i="13"/>
  <c r="BV318" i="13"/>
  <c r="BU318" i="13"/>
  <c r="BT318" i="13"/>
  <c r="CW317" i="13"/>
  <c r="CV317" i="13"/>
  <c r="CU317" i="13"/>
  <c r="CT317" i="13"/>
  <c r="CS317" i="13"/>
  <c r="CR317" i="13"/>
  <c r="CQ317" i="13"/>
  <c r="CP317" i="13"/>
  <c r="CO317" i="13"/>
  <c r="CN317" i="13"/>
  <c r="CM317" i="13"/>
  <c r="CL317" i="13"/>
  <c r="CK317" i="13"/>
  <c r="CH317" i="13"/>
  <c r="CG317" i="13"/>
  <c r="CF317" i="13"/>
  <c r="CE317" i="13"/>
  <c r="CD317" i="13"/>
  <c r="CC317" i="13"/>
  <c r="CB317" i="13"/>
  <c r="CA317" i="13"/>
  <c r="BZ317" i="13"/>
  <c r="BY317" i="13"/>
  <c r="BW317" i="13"/>
  <c r="BV317" i="13"/>
  <c r="BU317" i="13"/>
  <c r="BT317" i="13"/>
  <c r="CW316" i="13"/>
  <c r="CV316" i="13"/>
  <c r="CU316" i="13"/>
  <c r="CT316" i="13"/>
  <c r="CS316" i="13"/>
  <c r="CR316" i="13"/>
  <c r="CQ316" i="13"/>
  <c r="CP316" i="13"/>
  <c r="CO316" i="13"/>
  <c r="CN316" i="13"/>
  <c r="CM316" i="13"/>
  <c r="CL316" i="13"/>
  <c r="CK316" i="13"/>
  <c r="CJ316" i="13"/>
  <c r="CF316" i="13"/>
  <c r="CE316" i="13"/>
  <c r="CD316" i="13"/>
  <c r="CC316" i="13"/>
  <c r="CB316" i="13"/>
  <c r="CH316" i="13" s="1"/>
  <c r="CA316" i="13"/>
  <c r="BZ316" i="13"/>
  <c r="BY316" i="13"/>
  <c r="BW316" i="13"/>
  <c r="BV316" i="13"/>
  <c r="BU316" i="13"/>
  <c r="BT316" i="13"/>
  <c r="CW315" i="13"/>
  <c r="CV315" i="13"/>
  <c r="CU315" i="13"/>
  <c r="CT315" i="13"/>
  <c r="CS315" i="13"/>
  <c r="CR315" i="13"/>
  <c r="CQ315" i="13"/>
  <c r="CP315" i="13"/>
  <c r="CO315" i="13"/>
  <c r="CA315" i="13" s="1"/>
  <c r="CN315" i="13"/>
  <c r="CM315" i="13"/>
  <c r="CL315" i="13"/>
  <c r="CK315" i="13"/>
  <c r="CF315" i="13"/>
  <c r="CE315" i="13"/>
  <c r="CD315" i="13"/>
  <c r="CC315" i="13"/>
  <c r="CB315" i="13"/>
  <c r="CH315" i="13" s="1"/>
  <c r="BZ315" i="13"/>
  <c r="BY315" i="13"/>
  <c r="BW315" i="13"/>
  <c r="BV315" i="13"/>
  <c r="BU315" i="13"/>
  <c r="BT315" i="13"/>
  <c r="CW314" i="13"/>
  <c r="CV314" i="13"/>
  <c r="CU314" i="13"/>
  <c r="CT314" i="13"/>
  <c r="CS314" i="13"/>
  <c r="CR314" i="13"/>
  <c r="CQ314" i="13"/>
  <c r="CP314" i="13"/>
  <c r="CO314" i="13"/>
  <c r="CN314" i="13"/>
  <c r="CM314" i="13"/>
  <c r="CL314" i="13"/>
  <c r="CK314" i="13"/>
  <c r="CJ314" i="13"/>
  <c r="BX314" i="13" s="1"/>
  <c r="CH314" i="13"/>
  <c r="CF314" i="13"/>
  <c r="CE314" i="13"/>
  <c r="CD314" i="13"/>
  <c r="CC314" i="13"/>
  <c r="CB314" i="13"/>
  <c r="CG314" i="13" s="1"/>
  <c r="BZ314" i="13"/>
  <c r="BY314" i="13"/>
  <c r="BW314" i="13"/>
  <c r="BV314" i="13"/>
  <c r="BU314" i="13"/>
  <c r="BT314" i="13"/>
  <c r="CW313" i="13"/>
  <c r="CV313" i="13"/>
  <c r="CU313" i="13"/>
  <c r="CT313" i="13"/>
  <c r="CS313" i="13"/>
  <c r="CR313" i="13"/>
  <c r="CQ313" i="13"/>
  <c r="CP313" i="13"/>
  <c r="CO313" i="13"/>
  <c r="CN313" i="13"/>
  <c r="CM313" i="13"/>
  <c r="CL313" i="13"/>
  <c r="CK313" i="13"/>
  <c r="BX313" i="13" s="1"/>
  <c r="CJ313" i="13"/>
  <c r="CF313" i="13"/>
  <c r="CE313" i="13"/>
  <c r="CD313" i="13"/>
  <c r="CC313" i="13"/>
  <c r="CB313" i="13"/>
  <c r="CH313" i="13" s="1"/>
  <c r="CA313" i="13"/>
  <c r="BZ313" i="13"/>
  <c r="BY313" i="13"/>
  <c r="BW313" i="13"/>
  <c r="BV313" i="13"/>
  <c r="BU313" i="13"/>
  <c r="BT313" i="13"/>
  <c r="CW312" i="13"/>
  <c r="CV312" i="13"/>
  <c r="CU312" i="13"/>
  <c r="CT312" i="13"/>
  <c r="CS312" i="13"/>
  <c r="CR312" i="13"/>
  <c r="CQ312" i="13"/>
  <c r="CP312" i="13"/>
  <c r="CO312" i="13"/>
  <c r="CA312" i="13" s="1"/>
  <c r="CN312" i="13"/>
  <c r="CM312" i="13"/>
  <c r="CL312" i="13"/>
  <c r="CK312" i="13"/>
  <c r="CH312" i="13"/>
  <c r="CG312" i="13"/>
  <c r="CF312" i="13"/>
  <c r="CE312" i="13"/>
  <c r="CD312" i="13"/>
  <c r="CC312" i="13"/>
  <c r="CB312" i="13"/>
  <c r="BZ312" i="13"/>
  <c r="BY312" i="13"/>
  <c r="BW312" i="13"/>
  <c r="BV312" i="13"/>
  <c r="BU312" i="13"/>
  <c r="BT312" i="13"/>
  <c r="CW305" i="13"/>
  <c r="CV305" i="13"/>
  <c r="CU305" i="13"/>
  <c r="CT305" i="13"/>
  <c r="CS305" i="13"/>
  <c r="CR305" i="13"/>
  <c r="CQ305" i="13"/>
  <c r="CP305" i="13"/>
  <c r="CO305" i="13"/>
  <c r="CN305" i="13"/>
  <c r="CM305" i="13"/>
  <c r="CL305" i="13"/>
  <c r="CK305" i="13"/>
  <c r="CJ305" i="13"/>
  <c r="CC305" i="13"/>
  <c r="CB305" i="13"/>
  <c r="CW304" i="13"/>
  <c r="CV304" i="13"/>
  <c r="CU304" i="13"/>
  <c r="CT304" i="13"/>
  <c r="CS304" i="13"/>
  <c r="CR304" i="13"/>
  <c r="CQ304" i="13"/>
  <c r="CP304" i="13"/>
  <c r="CA304" i="13" s="1"/>
  <c r="CO304" i="13"/>
  <c r="CN304" i="13"/>
  <c r="CM304" i="13"/>
  <c r="CL304" i="13"/>
  <c r="CK304" i="13"/>
  <c r="CJ304" i="13"/>
  <c r="CF304" i="13"/>
  <c r="CE304" i="13"/>
  <c r="CD304" i="13"/>
  <c r="CC304" i="13"/>
  <c r="CB304" i="13"/>
  <c r="CH304" i="13" s="1"/>
  <c r="BZ304" i="13"/>
  <c r="BY304" i="13"/>
  <c r="BW304" i="13"/>
  <c r="BV304" i="13"/>
  <c r="BU304" i="13"/>
  <c r="BT304" i="13"/>
  <c r="CW303" i="13"/>
  <c r="CV303" i="13"/>
  <c r="CU303" i="13"/>
  <c r="CT303" i="13"/>
  <c r="CS303" i="13"/>
  <c r="CR303" i="13"/>
  <c r="CQ303" i="13"/>
  <c r="CP303" i="13"/>
  <c r="CO303" i="13"/>
  <c r="CN303" i="13"/>
  <c r="CM303" i="13"/>
  <c r="CL303" i="13"/>
  <c r="CK303" i="13"/>
  <c r="CJ303" i="13"/>
  <c r="CW302" i="13"/>
  <c r="CV302" i="13"/>
  <c r="CU302" i="13"/>
  <c r="CT302" i="13"/>
  <c r="CS302" i="13"/>
  <c r="CR302" i="13"/>
  <c r="CQ302" i="13"/>
  <c r="CP302" i="13"/>
  <c r="CO302" i="13"/>
  <c r="CN302" i="13"/>
  <c r="CA302" i="13" s="1"/>
  <c r="CM302" i="13"/>
  <c r="CL302" i="13"/>
  <c r="CK302" i="13"/>
  <c r="CJ302" i="13"/>
  <c r="CF302" i="13"/>
  <c r="CE302" i="13"/>
  <c r="CD302" i="13"/>
  <c r="CC302" i="13"/>
  <c r="CB302" i="13"/>
  <c r="CH302" i="13" s="1"/>
  <c r="BZ302" i="13"/>
  <c r="BY302" i="13"/>
  <c r="BW302" i="13"/>
  <c r="BV302" i="13"/>
  <c r="BU302" i="13"/>
  <c r="BT302" i="13"/>
  <c r="CW301" i="13"/>
  <c r="CV301" i="13"/>
  <c r="CU301" i="13"/>
  <c r="CT301" i="13"/>
  <c r="CS301" i="13"/>
  <c r="CR301" i="13"/>
  <c r="CQ301" i="13"/>
  <c r="CP301" i="13"/>
  <c r="CO301" i="13"/>
  <c r="CA301" i="13" s="1"/>
  <c r="CN301" i="13"/>
  <c r="CM301" i="13"/>
  <c r="CL301" i="13"/>
  <c r="CK301" i="13"/>
  <c r="CJ301" i="13"/>
  <c r="CH301" i="13"/>
  <c r="CF301" i="13"/>
  <c r="CE301" i="13"/>
  <c r="CD301" i="13"/>
  <c r="CC301" i="13"/>
  <c r="CB301" i="13"/>
  <c r="CG301" i="13" s="1"/>
  <c r="BZ301" i="13"/>
  <c r="BY301" i="13"/>
  <c r="BX301" i="13"/>
  <c r="BW301" i="13"/>
  <c r="BV301" i="13"/>
  <c r="BU301" i="13"/>
  <c r="BT301" i="13"/>
  <c r="CW300" i="13"/>
  <c r="CV300" i="13"/>
  <c r="CU300" i="13"/>
  <c r="CT300" i="13"/>
  <c r="CS300" i="13"/>
  <c r="CR300" i="13"/>
  <c r="CQ300" i="13"/>
  <c r="CP300" i="13"/>
  <c r="CO300" i="13"/>
  <c r="CA300" i="13" s="1"/>
  <c r="CN300" i="13"/>
  <c r="CM300" i="13"/>
  <c r="CL300" i="13"/>
  <c r="CK300" i="13"/>
  <c r="CJ300" i="13"/>
  <c r="CG300" i="13"/>
  <c r="CF300" i="13"/>
  <c r="CE300" i="13"/>
  <c r="CD300" i="13"/>
  <c r="CC300" i="13"/>
  <c r="CB300" i="13"/>
  <c r="CH300" i="13" s="1"/>
  <c r="BZ300" i="13"/>
  <c r="BY300" i="13"/>
  <c r="BX300" i="13"/>
  <c r="BW300" i="13"/>
  <c r="BV300" i="13"/>
  <c r="BU300" i="13"/>
  <c r="BT300" i="13"/>
  <c r="CW299" i="13"/>
  <c r="CV299" i="13"/>
  <c r="CU299" i="13"/>
  <c r="CT299" i="13"/>
  <c r="CS299" i="13"/>
  <c r="CR299" i="13"/>
  <c r="CQ299" i="13"/>
  <c r="CP299" i="13"/>
  <c r="CO299" i="13"/>
  <c r="CN299" i="13"/>
  <c r="CM299" i="13"/>
  <c r="CL299" i="13"/>
  <c r="CK299" i="13"/>
  <c r="BX299" i="13" s="1"/>
  <c r="CJ299" i="13"/>
  <c r="CG299" i="13"/>
  <c r="CF299" i="13"/>
  <c r="CE299" i="13"/>
  <c r="CD299" i="13"/>
  <c r="CC299" i="13"/>
  <c r="CB299" i="13"/>
  <c r="CH299" i="13" s="1"/>
  <c r="CA299" i="13"/>
  <c r="BZ299" i="13"/>
  <c r="BY299" i="13"/>
  <c r="BW299" i="13"/>
  <c r="BV299" i="13"/>
  <c r="BU299" i="13"/>
  <c r="BT299" i="13"/>
  <c r="CW298" i="13"/>
  <c r="CV298" i="13"/>
  <c r="CU298" i="13"/>
  <c r="CT298" i="13"/>
  <c r="CS298" i="13"/>
  <c r="CR298" i="13"/>
  <c r="CQ298" i="13"/>
  <c r="CP298" i="13"/>
  <c r="CO298" i="13"/>
  <c r="CA298" i="13" s="1"/>
  <c r="CN298" i="13"/>
  <c r="CM298" i="13"/>
  <c r="CL298" i="13"/>
  <c r="CK298" i="13"/>
  <c r="CJ298" i="13"/>
  <c r="CH298" i="13"/>
  <c r="CG298" i="13"/>
  <c r="CF298" i="13"/>
  <c r="CE298" i="13"/>
  <c r="CD298" i="13"/>
  <c r="CC298" i="13"/>
  <c r="CB298" i="13"/>
  <c r="BZ298" i="13"/>
  <c r="BY298" i="13"/>
  <c r="BX298" i="13"/>
  <c r="BW298" i="13"/>
  <c r="BV298" i="13"/>
  <c r="BU298" i="13"/>
  <c r="BT298" i="13"/>
  <c r="CW297" i="13"/>
  <c r="CV297" i="13"/>
  <c r="CU297" i="13"/>
  <c r="CT297" i="13"/>
  <c r="CS297" i="13"/>
  <c r="CR297" i="13"/>
  <c r="CQ297" i="13"/>
  <c r="CP297" i="13"/>
  <c r="CO297" i="13"/>
  <c r="CN297" i="13"/>
  <c r="CM297" i="13"/>
  <c r="CL297" i="13"/>
  <c r="CK297" i="13"/>
  <c r="CJ297" i="13"/>
  <c r="CW296" i="13"/>
  <c r="CV296" i="13"/>
  <c r="CU296" i="13"/>
  <c r="CT296" i="13"/>
  <c r="CS296" i="13"/>
  <c r="CR296" i="13"/>
  <c r="CQ296" i="13"/>
  <c r="CP296" i="13"/>
  <c r="CO296" i="13"/>
  <c r="CN296" i="13"/>
  <c r="CM296" i="13"/>
  <c r="CL296" i="13"/>
  <c r="CK296" i="13"/>
  <c r="CJ296" i="13"/>
  <c r="CF296" i="13"/>
  <c r="CE296" i="13"/>
  <c r="CD296" i="13"/>
  <c r="CC296" i="13"/>
  <c r="CB296" i="13"/>
  <c r="CA296" i="13"/>
  <c r="BZ296" i="13"/>
  <c r="BY296" i="13"/>
  <c r="BW296" i="13"/>
  <c r="BV296" i="13"/>
  <c r="BU296" i="13"/>
  <c r="BT296" i="13"/>
  <c r="CW295" i="13"/>
  <c r="CV295" i="13"/>
  <c r="CU295" i="13"/>
  <c r="CT295" i="13"/>
  <c r="CS295" i="13"/>
  <c r="CR295" i="13"/>
  <c r="CQ295" i="13"/>
  <c r="CP295" i="13"/>
  <c r="CO295" i="13"/>
  <c r="CA295" i="13" s="1"/>
  <c r="CN295" i="13"/>
  <c r="CM295" i="13"/>
  <c r="CL295" i="13"/>
  <c r="CK295" i="13"/>
  <c r="CJ295" i="13"/>
  <c r="BX295" i="13" s="1"/>
  <c r="CF295" i="13"/>
  <c r="CE295" i="13"/>
  <c r="CD295" i="13"/>
  <c r="CC295" i="13"/>
  <c r="CB295" i="13"/>
  <c r="CH295" i="13" s="1"/>
  <c r="BZ295" i="13"/>
  <c r="BY295" i="13"/>
  <c r="BW295" i="13"/>
  <c r="BV295" i="13"/>
  <c r="BU295" i="13"/>
  <c r="BT295" i="13"/>
  <c r="CW294" i="13"/>
  <c r="CV294" i="13"/>
  <c r="CU294" i="13"/>
  <c r="CT294" i="13"/>
  <c r="CS294" i="13"/>
  <c r="CR294" i="13"/>
  <c r="CQ294" i="13"/>
  <c r="CP294" i="13"/>
  <c r="CO294" i="13"/>
  <c r="CN294" i="13"/>
  <c r="CM294" i="13"/>
  <c r="CL294" i="13"/>
  <c r="CK294" i="13"/>
  <c r="BX294" i="13" s="1"/>
  <c r="CJ294" i="13"/>
  <c r="CF294" i="13"/>
  <c r="CE294" i="13"/>
  <c r="CD294" i="13"/>
  <c r="CC294" i="13"/>
  <c r="CB294" i="13"/>
  <c r="CH294" i="13" s="1"/>
  <c r="BZ294" i="13"/>
  <c r="BY294" i="13"/>
  <c r="BW294" i="13"/>
  <c r="BV294" i="13"/>
  <c r="BU294" i="13"/>
  <c r="BT294" i="13"/>
  <c r="CW293" i="13"/>
  <c r="CV293" i="13"/>
  <c r="CU293" i="13"/>
  <c r="CT293" i="13"/>
  <c r="CS293" i="13"/>
  <c r="CR293" i="13"/>
  <c r="CQ293" i="13"/>
  <c r="CP293" i="13"/>
  <c r="CO293" i="13"/>
  <c r="CN293" i="13"/>
  <c r="CA293" i="13" s="1"/>
  <c r="CM293" i="13"/>
  <c r="CL293" i="13"/>
  <c r="CK293" i="13"/>
  <c r="BX293" i="13" s="1"/>
  <c r="CJ293" i="13"/>
  <c r="CF293" i="13"/>
  <c r="CE293" i="13"/>
  <c r="CD293" i="13"/>
  <c r="CC293" i="13"/>
  <c r="CB293" i="13"/>
  <c r="CH293" i="13" s="1"/>
  <c r="BZ293" i="13"/>
  <c r="BY293" i="13"/>
  <c r="BW293" i="13"/>
  <c r="BV293" i="13"/>
  <c r="BU293" i="13"/>
  <c r="BT293" i="13"/>
  <c r="CW292" i="13"/>
  <c r="CV292" i="13"/>
  <c r="CU292" i="13"/>
  <c r="CT292" i="13"/>
  <c r="CS292" i="13"/>
  <c r="CR292" i="13"/>
  <c r="CQ292" i="13"/>
  <c r="CP292" i="13"/>
  <c r="CO292" i="13"/>
  <c r="CN292" i="13"/>
  <c r="CM292" i="13"/>
  <c r="CL292" i="13"/>
  <c r="CK292" i="13"/>
  <c r="CJ292" i="13"/>
  <c r="CH292" i="13"/>
  <c r="CG292" i="13"/>
  <c r="CF292" i="13"/>
  <c r="CE292" i="13"/>
  <c r="CD292" i="13"/>
  <c r="CC292" i="13"/>
  <c r="CB292" i="13"/>
  <c r="BZ292" i="13"/>
  <c r="BY292" i="13"/>
  <c r="BX292" i="13"/>
  <c r="BW292" i="13"/>
  <c r="BV292" i="13"/>
  <c r="BU292" i="13"/>
  <c r="BT292" i="13"/>
  <c r="CW291" i="13"/>
  <c r="CV291" i="13"/>
  <c r="CU291" i="13"/>
  <c r="CT291" i="13"/>
  <c r="CS291" i="13"/>
  <c r="CR291" i="13"/>
  <c r="CQ291" i="13"/>
  <c r="CP291" i="13"/>
  <c r="CO291" i="13"/>
  <c r="CN291" i="13"/>
  <c r="CM291" i="13"/>
  <c r="CL291" i="13"/>
  <c r="CK291" i="13"/>
  <c r="CJ291" i="13"/>
  <c r="CG291" i="13"/>
  <c r="CF291" i="13"/>
  <c r="CE291" i="13"/>
  <c r="CD291" i="13"/>
  <c r="CC291" i="13"/>
  <c r="CB291" i="13"/>
  <c r="CA291" i="13"/>
  <c r="BZ291" i="13"/>
  <c r="BY291" i="13"/>
  <c r="BW291" i="13"/>
  <c r="BV291" i="13"/>
  <c r="BU291" i="13"/>
  <c r="BT291" i="13"/>
  <c r="CW290" i="13"/>
  <c r="CV290" i="13"/>
  <c r="CU290" i="13"/>
  <c r="CT290" i="13"/>
  <c r="CS290" i="13"/>
  <c r="CR290" i="13"/>
  <c r="CQ290" i="13"/>
  <c r="CP290" i="13"/>
  <c r="CO290" i="13"/>
  <c r="CN290" i="13"/>
  <c r="CA290" i="13" s="1"/>
  <c r="CM290" i="13"/>
  <c r="CL290" i="13"/>
  <c r="CK290" i="13"/>
  <c r="CJ290" i="13"/>
  <c r="CG290" i="13"/>
  <c r="CF290" i="13"/>
  <c r="CE290" i="13"/>
  <c r="CD290" i="13"/>
  <c r="CC290" i="13"/>
  <c r="CB290" i="13"/>
  <c r="CH290" i="13" s="1"/>
  <c r="BZ290" i="13"/>
  <c r="BY290" i="13"/>
  <c r="BX290" i="13"/>
  <c r="BW290" i="13"/>
  <c r="BV290" i="13"/>
  <c r="BU290" i="13"/>
  <c r="BT290" i="13"/>
  <c r="CW289" i="13"/>
  <c r="CV289" i="13"/>
  <c r="CU289" i="13"/>
  <c r="CT289" i="13"/>
  <c r="CS289" i="13"/>
  <c r="CR289" i="13"/>
  <c r="CQ289" i="13"/>
  <c r="CP289" i="13"/>
  <c r="CO289" i="13"/>
  <c r="CN289" i="13"/>
  <c r="CA289" i="13" s="1"/>
  <c r="CM289" i="13"/>
  <c r="CL289" i="13"/>
  <c r="CK289" i="13"/>
  <c r="BX289" i="13" s="1"/>
  <c r="CJ289" i="13"/>
  <c r="CG289" i="13"/>
  <c r="CF289" i="13"/>
  <c r="CE289" i="13"/>
  <c r="CD289" i="13"/>
  <c r="CC289" i="13"/>
  <c r="CB289" i="13"/>
  <c r="CH289" i="13" s="1"/>
  <c r="BZ289" i="13"/>
  <c r="BY289" i="13"/>
  <c r="BW289" i="13"/>
  <c r="BV289" i="13"/>
  <c r="BU289" i="13"/>
  <c r="BT289" i="13"/>
  <c r="CW288" i="13"/>
  <c r="CV288" i="13"/>
  <c r="CU288" i="13"/>
  <c r="CT288" i="13"/>
  <c r="CS288" i="13"/>
  <c r="CR288" i="13"/>
  <c r="CQ288" i="13"/>
  <c r="CP288" i="13"/>
  <c r="CO288" i="13"/>
  <c r="CA288" i="13" s="1"/>
  <c r="CN288" i="13"/>
  <c r="CM288" i="13"/>
  <c r="CL288" i="13"/>
  <c r="CK288" i="13"/>
  <c r="CJ288" i="13"/>
  <c r="BX288" i="13" s="1"/>
  <c r="CH288" i="13"/>
  <c r="CG288" i="13"/>
  <c r="CF288" i="13"/>
  <c r="CE288" i="13"/>
  <c r="CD288" i="13"/>
  <c r="CC288" i="13"/>
  <c r="CB288" i="13"/>
  <c r="BZ288" i="13"/>
  <c r="BY288" i="13"/>
  <c r="BW288" i="13"/>
  <c r="BV288" i="13"/>
  <c r="BU288" i="13"/>
  <c r="BT288" i="13"/>
  <c r="CW287" i="13"/>
  <c r="CV287" i="13"/>
  <c r="CU287" i="13"/>
  <c r="CT287" i="13"/>
  <c r="CS287" i="13"/>
  <c r="CR287" i="13"/>
  <c r="CQ287" i="13"/>
  <c r="CP287" i="13"/>
  <c r="CO287" i="13"/>
  <c r="CA287" i="13" s="1"/>
  <c r="CN287" i="13"/>
  <c r="CM287" i="13"/>
  <c r="CL287" i="13"/>
  <c r="CK287" i="13"/>
  <c r="BX287" i="13" s="1"/>
  <c r="CJ287" i="13"/>
  <c r="CH287" i="13"/>
  <c r="CG287" i="13"/>
  <c r="CF287" i="13"/>
  <c r="CE287" i="13"/>
  <c r="CD287" i="13"/>
  <c r="CC287" i="13"/>
  <c r="CB287" i="13"/>
  <c r="BZ287" i="13"/>
  <c r="BY287" i="13"/>
  <c r="BW287" i="13"/>
  <c r="BV287" i="13"/>
  <c r="BU287" i="13"/>
  <c r="BT287" i="13"/>
  <c r="CW286" i="13"/>
  <c r="CV286" i="13"/>
  <c r="CU286" i="13"/>
  <c r="CT286" i="13"/>
  <c r="CS286" i="13"/>
  <c r="CR286" i="13"/>
  <c r="CQ286" i="13"/>
  <c r="CP286" i="13"/>
  <c r="CO286" i="13"/>
  <c r="CN286" i="13"/>
  <c r="CM286" i="13"/>
  <c r="CL286" i="13"/>
  <c r="BX286" i="13" s="1"/>
  <c r="CK286" i="13"/>
  <c r="CJ286" i="13"/>
  <c r="CF286" i="13"/>
  <c r="CE286" i="13"/>
  <c r="CD286" i="13"/>
  <c r="CC286" i="13"/>
  <c r="CB286" i="13"/>
  <c r="CH286" i="13" s="1"/>
  <c r="CA286" i="13"/>
  <c r="BZ286" i="13"/>
  <c r="BY286" i="13"/>
  <c r="BW286" i="13"/>
  <c r="BV286" i="13"/>
  <c r="BU286" i="13"/>
  <c r="BT286" i="13"/>
  <c r="CW285" i="13"/>
  <c r="CV285" i="13"/>
  <c r="CU285" i="13"/>
  <c r="CT285" i="13"/>
  <c r="CS285" i="13"/>
  <c r="CR285" i="13"/>
  <c r="CQ285" i="13"/>
  <c r="CP285" i="13"/>
  <c r="CO285" i="13"/>
  <c r="CA285" i="13" s="1"/>
  <c r="CN285" i="13"/>
  <c r="CM285" i="13"/>
  <c r="CL285" i="13"/>
  <c r="CK285" i="13"/>
  <c r="CF285" i="13"/>
  <c r="CE285" i="13"/>
  <c r="CD285" i="13"/>
  <c r="CC285" i="13"/>
  <c r="CB285" i="13"/>
  <c r="CH285" i="13" s="1"/>
  <c r="BZ285" i="13"/>
  <c r="BY285" i="13"/>
  <c r="BW285" i="13"/>
  <c r="BV285" i="13"/>
  <c r="BU285" i="13"/>
  <c r="BT285" i="13"/>
  <c r="CW284" i="13"/>
  <c r="CV284" i="13"/>
  <c r="CU284" i="13"/>
  <c r="CT284" i="13"/>
  <c r="CS284" i="13"/>
  <c r="CR284" i="13"/>
  <c r="CQ284" i="13"/>
  <c r="CP284" i="13"/>
  <c r="CO284" i="13"/>
  <c r="CA284" i="13" s="1"/>
  <c r="CN284" i="13"/>
  <c r="CM284" i="13"/>
  <c r="CL284" i="13"/>
  <c r="CK284" i="13"/>
  <c r="BX284" i="13" s="1"/>
  <c r="CJ284" i="13"/>
  <c r="CF284" i="13"/>
  <c r="CE284" i="13"/>
  <c r="CD284" i="13"/>
  <c r="CC284" i="13"/>
  <c r="CB284" i="13"/>
  <c r="CH284" i="13" s="1"/>
  <c r="BZ284" i="13"/>
  <c r="BY284" i="13"/>
  <c r="BW284" i="13"/>
  <c r="BV284" i="13"/>
  <c r="BU284" i="13"/>
  <c r="BT284" i="13"/>
  <c r="CW283" i="13"/>
  <c r="CV283" i="13"/>
  <c r="CU283" i="13"/>
  <c r="CT283" i="13"/>
  <c r="CS283" i="13"/>
  <c r="CR283" i="13"/>
  <c r="CQ283" i="13"/>
  <c r="CP283" i="13"/>
  <c r="CO283" i="13"/>
  <c r="CN283" i="13"/>
  <c r="CM283" i="13"/>
  <c r="CL283" i="13"/>
  <c r="CK283" i="13"/>
  <c r="CJ283" i="13"/>
  <c r="CF283" i="13"/>
  <c r="CE283" i="13"/>
  <c r="CD283" i="13"/>
  <c r="CC283" i="13"/>
  <c r="CB283" i="13"/>
  <c r="CH283" i="13" s="1"/>
  <c r="CA283" i="13"/>
  <c r="BZ283" i="13"/>
  <c r="BY283" i="13"/>
  <c r="BW283" i="13"/>
  <c r="BV283" i="13"/>
  <c r="BU283" i="13"/>
  <c r="BT283" i="13"/>
  <c r="CW282" i="13"/>
  <c r="CV282" i="13"/>
  <c r="CU282" i="13"/>
  <c r="CT282" i="13"/>
  <c r="CS282" i="13"/>
  <c r="CR282" i="13"/>
  <c r="CQ282" i="13"/>
  <c r="CP282" i="13"/>
  <c r="CO282" i="13"/>
  <c r="CA282" i="13" s="1"/>
  <c r="CN282" i="13"/>
  <c r="CM282" i="13"/>
  <c r="CL282" i="13"/>
  <c r="CK282" i="13"/>
  <c r="CJ282" i="13"/>
  <c r="CH282" i="13"/>
  <c r="CG282" i="13"/>
  <c r="CF282" i="13"/>
  <c r="CE282" i="13"/>
  <c r="CD282" i="13"/>
  <c r="CC282" i="13"/>
  <c r="CB282" i="13"/>
  <c r="BZ282" i="13"/>
  <c r="BY282" i="13"/>
  <c r="BX282" i="13"/>
  <c r="BW282" i="13"/>
  <c r="BV282" i="13"/>
  <c r="BU282" i="13"/>
  <c r="BT282" i="13"/>
  <c r="CW281" i="13"/>
  <c r="CV281" i="13"/>
  <c r="CU281" i="13"/>
  <c r="CT281" i="13"/>
  <c r="CS281" i="13"/>
  <c r="CR281" i="13"/>
  <c r="CQ281" i="13"/>
  <c r="CP281" i="13"/>
  <c r="CO281" i="13"/>
  <c r="CN281" i="13"/>
  <c r="CA281" i="13" s="1"/>
  <c r="CM281" i="13"/>
  <c r="CL281" i="13"/>
  <c r="CK281" i="13"/>
  <c r="BX281" i="13" s="1"/>
  <c r="CJ281" i="13"/>
  <c r="CF281" i="13"/>
  <c r="CE281" i="13"/>
  <c r="CD281" i="13"/>
  <c r="CC281" i="13"/>
  <c r="CB281" i="13"/>
  <c r="BZ281" i="13"/>
  <c r="BY281" i="13"/>
  <c r="BW281" i="13"/>
  <c r="BV281" i="13"/>
  <c r="BU281" i="13"/>
  <c r="BT281" i="13"/>
  <c r="CW280" i="13"/>
  <c r="CV280" i="13"/>
  <c r="CU280" i="13"/>
  <c r="CT280" i="13"/>
  <c r="CS280" i="13"/>
  <c r="CR280" i="13"/>
  <c r="CQ280" i="13"/>
  <c r="CP280" i="13"/>
  <c r="CO280" i="13"/>
  <c r="CA280" i="13" s="1"/>
  <c r="CN280" i="13"/>
  <c r="CM280" i="13"/>
  <c r="CL280" i="13"/>
  <c r="CK280" i="13"/>
  <c r="CJ280" i="13"/>
  <c r="CH280" i="13"/>
  <c r="CG280" i="13"/>
  <c r="CF280" i="13"/>
  <c r="CE280" i="13"/>
  <c r="CD280" i="13"/>
  <c r="CC280" i="13"/>
  <c r="CB280" i="13"/>
  <c r="BZ280" i="13"/>
  <c r="BY280" i="13"/>
  <c r="BX280" i="13"/>
  <c r="BW280" i="13"/>
  <c r="BV280" i="13"/>
  <c r="BU280" i="13"/>
  <c r="BT280" i="13"/>
  <c r="CW279" i="13"/>
  <c r="CV279" i="13"/>
  <c r="CU279" i="13"/>
  <c r="CT279" i="13"/>
  <c r="CS279" i="13"/>
  <c r="CR279" i="13"/>
  <c r="CQ279" i="13"/>
  <c r="CP279" i="13"/>
  <c r="CO279" i="13"/>
  <c r="CN279" i="13"/>
  <c r="CM279" i="13"/>
  <c r="CL279" i="13"/>
  <c r="CK279" i="13"/>
  <c r="BX279" i="13" s="1"/>
  <c r="CJ279" i="13"/>
  <c r="CG279" i="13"/>
  <c r="CF279" i="13"/>
  <c r="CE279" i="13"/>
  <c r="CD279" i="13"/>
  <c r="CC279" i="13"/>
  <c r="CB279" i="13"/>
  <c r="CH279" i="13" s="1"/>
  <c r="CA279" i="13"/>
  <c r="BZ279" i="13"/>
  <c r="BY279" i="13"/>
  <c r="BW279" i="13"/>
  <c r="BV279" i="13"/>
  <c r="BU279" i="13"/>
  <c r="BT279" i="13"/>
  <c r="CW278" i="13"/>
  <c r="CV278" i="13"/>
  <c r="CU278" i="13"/>
  <c r="CT278" i="13"/>
  <c r="CS278" i="13"/>
  <c r="CR278" i="13"/>
  <c r="CQ278" i="13"/>
  <c r="CP278" i="13"/>
  <c r="CO278" i="13"/>
  <c r="CA278" i="13" s="1"/>
  <c r="CN278" i="13"/>
  <c r="CM278" i="13"/>
  <c r="CL278" i="13"/>
  <c r="CK278" i="13"/>
  <c r="CJ278" i="13"/>
  <c r="CH278" i="13"/>
  <c r="CG278" i="13"/>
  <c r="CF278" i="13"/>
  <c r="CE278" i="13"/>
  <c r="CD278" i="13"/>
  <c r="CC278" i="13"/>
  <c r="CB278" i="13"/>
  <c r="BZ278" i="13"/>
  <c r="BY278" i="13"/>
  <c r="BX278" i="13"/>
  <c r="BW278" i="13"/>
  <c r="BV278" i="13"/>
  <c r="BU278" i="13"/>
  <c r="BT278" i="13"/>
  <c r="CW277" i="13"/>
  <c r="CV277" i="13"/>
  <c r="CU277" i="13"/>
  <c r="CT277" i="13"/>
  <c r="CS277" i="13"/>
  <c r="CR277" i="13"/>
  <c r="CQ277" i="13"/>
  <c r="CP277" i="13"/>
  <c r="CO277" i="13"/>
  <c r="CN277" i="13"/>
  <c r="CM277" i="13"/>
  <c r="CL277" i="13"/>
  <c r="BX277" i="13" s="1"/>
  <c r="CK277" i="13"/>
  <c r="CJ277" i="13"/>
  <c r="CH277" i="13"/>
  <c r="CG277" i="13"/>
  <c r="CF277" i="13"/>
  <c r="CE277" i="13"/>
  <c r="CD277" i="13"/>
  <c r="CC277" i="13"/>
  <c r="CB277" i="13"/>
  <c r="CA277" i="13"/>
  <c r="BZ277" i="13"/>
  <c r="BY277" i="13"/>
  <c r="BW277" i="13"/>
  <c r="BV277" i="13"/>
  <c r="BU277" i="13"/>
  <c r="BT277" i="13"/>
  <c r="CW276" i="13"/>
  <c r="CV276" i="13"/>
  <c r="CU276" i="13"/>
  <c r="CT276" i="13"/>
  <c r="CS276" i="13"/>
  <c r="CR276" i="13"/>
  <c r="CQ276" i="13"/>
  <c r="CP276" i="13"/>
  <c r="CO276" i="13"/>
  <c r="CA276" i="13" s="1"/>
  <c r="CN276" i="13"/>
  <c r="CM276" i="13"/>
  <c r="CL276" i="13"/>
  <c r="CK276" i="13"/>
  <c r="CJ276" i="13"/>
  <c r="CH276" i="13"/>
  <c r="CF276" i="13"/>
  <c r="CE276" i="13"/>
  <c r="CD276" i="13"/>
  <c r="CC276" i="13"/>
  <c r="CB276" i="13"/>
  <c r="CG276" i="13" s="1"/>
  <c r="BZ276" i="13"/>
  <c r="BY276" i="13"/>
  <c r="BX276" i="13"/>
  <c r="BW276" i="13"/>
  <c r="BV276" i="13"/>
  <c r="BU276" i="13"/>
  <c r="BT276" i="13"/>
  <c r="CW275" i="13"/>
  <c r="CV275" i="13"/>
  <c r="CU275" i="13"/>
  <c r="CT275" i="13"/>
  <c r="CS275" i="13"/>
  <c r="CR275" i="13"/>
  <c r="CQ275" i="13"/>
  <c r="CP275" i="13"/>
  <c r="CO275" i="13"/>
  <c r="CA275" i="13" s="1"/>
  <c r="CN275" i="13"/>
  <c r="CM275" i="13"/>
  <c r="CL275" i="13"/>
  <c r="CK275" i="13"/>
  <c r="CG275" i="13"/>
  <c r="CF275" i="13"/>
  <c r="CE275" i="13"/>
  <c r="CD275" i="13"/>
  <c r="CC275" i="13"/>
  <c r="CH275" i="13" s="1"/>
  <c r="CB275" i="13"/>
  <c r="BZ275" i="13"/>
  <c r="BY275" i="13"/>
  <c r="BW275" i="13"/>
  <c r="BV275" i="13"/>
  <c r="BU275" i="13"/>
  <c r="BT275" i="13"/>
  <c r="CW274" i="13"/>
  <c r="CV274" i="13"/>
  <c r="CU274" i="13"/>
  <c r="CT274" i="13"/>
  <c r="CS274" i="13"/>
  <c r="CR274" i="13"/>
  <c r="CQ274" i="13"/>
  <c r="CP274" i="13"/>
  <c r="CO274" i="13"/>
  <c r="CN274" i="13"/>
  <c r="CM274" i="13"/>
  <c r="CL274" i="13"/>
  <c r="CK274" i="13"/>
  <c r="CH274" i="13"/>
  <c r="CF274" i="13"/>
  <c r="CE274" i="13"/>
  <c r="CD274" i="13"/>
  <c r="CC274" i="13"/>
  <c r="CB274" i="13"/>
  <c r="CG274" i="13" s="1"/>
  <c r="BZ274" i="13"/>
  <c r="BY274" i="13"/>
  <c r="BW274" i="13"/>
  <c r="BV274" i="13"/>
  <c r="BU274" i="13"/>
  <c r="BT274" i="13"/>
  <c r="CW273" i="13"/>
  <c r="CV273" i="13"/>
  <c r="CU273" i="13"/>
  <c r="CT273" i="13"/>
  <c r="CS273" i="13"/>
  <c r="CR273" i="13"/>
  <c r="CQ273" i="13"/>
  <c r="CP273" i="13"/>
  <c r="CO273" i="13"/>
  <c r="CA273" i="13" s="1"/>
  <c r="CN273" i="13"/>
  <c r="CM273" i="13"/>
  <c r="CL273" i="13"/>
  <c r="CK273" i="13"/>
  <c r="BX273" i="13" s="1"/>
  <c r="CJ273" i="13"/>
  <c r="CH273" i="13"/>
  <c r="CG273" i="13"/>
  <c r="CF273" i="13"/>
  <c r="CE273" i="13"/>
  <c r="CD273" i="13"/>
  <c r="CC273" i="13"/>
  <c r="CB273" i="13"/>
  <c r="BZ273" i="13"/>
  <c r="BY273" i="13"/>
  <c r="BW273" i="13"/>
  <c r="BV273" i="13"/>
  <c r="BU273" i="13"/>
  <c r="BT273" i="13"/>
  <c r="CW272" i="13"/>
  <c r="CV272" i="13"/>
  <c r="CU272" i="13"/>
  <c r="CT272" i="13"/>
  <c r="CS272" i="13"/>
  <c r="CR272" i="13"/>
  <c r="CQ272" i="13"/>
  <c r="CP272" i="13"/>
  <c r="CO272" i="13"/>
  <c r="CA272" i="13" s="1"/>
  <c r="CN272" i="13"/>
  <c r="CM272" i="13"/>
  <c r="CL272" i="13"/>
  <c r="BX272" i="13" s="1"/>
  <c r="CK272" i="13"/>
  <c r="CJ272" i="13"/>
  <c r="CH272" i="13"/>
  <c r="CG272" i="13"/>
  <c r="CF272" i="13"/>
  <c r="CE272" i="13"/>
  <c r="CD272" i="13"/>
  <c r="CC272" i="13"/>
  <c r="CB272" i="13"/>
  <c r="BZ272" i="13"/>
  <c r="BY272" i="13"/>
  <c r="BW272" i="13"/>
  <c r="BV272" i="13"/>
  <c r="BU272" i="13"/>
  <c r="BT272" i="13"/>
  <c r="CW271" i="13"/>
  <c r="CV271" i="13"/>
  <c r="CU271" i="13"/>
  <c r="CT271" i="13"/>
  <c r="CS271" i="13"/>
  <c r="CR271" i="13"/>
  <c r="CQ271" i="13"/>
  <c r="CP271" i="13"/>
  <c r="CO271" i="13"/>
  <c r="CN271" i="13"/>
  <c r="CM271" i="13"/>
  <c r="CL271" i="13"/>
  <c r="CK271" i="13"/>
  <c r="BX271" i="13" s="1"/>
  <c r="CJ271" i="13"/>
  <c r="CF271" i="13"/>
  <c r="CE271" i="13"/>
  <c r="CD271" i="13"/>
  <c r="CC271" i="13"/>
  <c r="CB271" i="13"/>
  <c r="CG271" i="13" s="1"/>
  <c r="CA271" i="13"/>
  <c r="BZ271" i="13"/>
  <c r="BY271" i="13"/>
  <c r="BW271" i="13"/>
  <c r="BV271" i="13"/>
  <c r="BU271" i="13"/>
  <c r="BT271" i="13"/>
  <c r="CW270" i="13"/>
  <c r="CV270" i="13"/>
  <c r="CU270" i="13"/>
  <c r="CT270" i="13"/>
  <c r="CS270" i="13"/>
  <c r="CR270" i="13"/>
  <c r="CQ270" i="13"/>
  <c r="CP270" i="13"/>
  <c r="CO270" i="13"/>
  <c r="CA270" i="13" s="1"/>
  <c r="CN270" i="13"/>
  <c r="CM270" i="13"/>
  <c r="CL270" i="13"/>
  <c r="CK270" i="13"/>
  <c r="CJ270" i="13"/>
  <c r="CH270" i="13"/>
  <c r="CF270" i="13"/>
  <c r="CE270" i="13"/>
  <c r="CD270" i="13"/>
  <c r="CC270" i="13"/>
  <c r="CB270" i="13"/>
  <c r="CG270" i="13" s="1"/>
  <c r="BZ270" i="13"/>
  <c r="BY270" i="13"/>
  <c r="BX270" i="13"/>
  <c r="BW270" i="13"/>
  <c r="BV270" i="13"/>
  <c r="BU270" i="13"/>
  <c r="BT270" i="13"/>
  <c r="CW269" i="13"/>
  <c r="CV269" i="13"/>
  <c r="CU269" i="13"/>
  <c r="CT269" i="13"/>
  <c r="CS269" i="13"/>
  <c r="CR269" i="13"/>
  <c r="CQ269" i="13"/>
  <c r="CP269" i="13"/>
  <c r="CO269" i="13"/>
  <c r="CN269" i="13"/>
  <c r="CM269" i="13"/>
  <c r="CL269" i="13"/>
  <c r="BX269" i="13" s="1"/>
  <c r="CK269" i="13"/>
  <c r="CJ269" i="13"/>
  <c r="CF269" i="13"/>
  <c r="CE269" i="13"/>
  <c r="CD269" i="13"/>
  <c r="CC269" i="13"/>
  <c r="CB269" i="13"/>
  <c r="CG269" i="13" s="1"/>
  <c r="BZ269" i="13"/>
  <c r="BY269" i="13"/>
  <c r="BW269" i="13"/>
  <c r="BV269" i="13"/>
  <c r="BU269" i="13"/>
  <c r="BT269" i="13"/>
  <c r="CW268" i="13"/>
  <c r="CV268" i="13"/>
  <c r="CU268" i="13"/>
  <c r="CT268" i="13"/>
  <c r="CS268" i="13"/>
  <c r="CR268" i="13"/>
  <c r="CQ268" i="13"/>
  <c r="CP268" i="13"/>
  <c r="CA268" i="13" s="1"/>
  <c r="CO268" i="13"/>
  <c r="CN268" i="13"/>
  <c r="CM268" i="13"/>
  <c r="CL268" i="13"/>
  <c r="CK268" i="13"/>
  <c r="CH268" i="13"/>
  <c r="CG268" i="13"/>
  <c r="CF268" i="13"/>
  <c r="CE268" i="13"/>
  <c r="CD268" i="13"/>
  <c r="CC268" i="13"/>
  <c r="CB268" i="13"/>
  <c r="BZ268" i="13"/>
  <c r="BY268" i="13"/>
  <c r="BW268" i="13"/>
  <c r="BV268" i="13"/>
  <c r="BU268" i="13"/>
  <c r="BT268" i="13"/>
  <c r="CW267" i="13"/>
  <c r="CV267" i="13"/>
  <c r="CU267" i="13"/>
  <c r="CT267" i="13"/>
  <c r="CS267" i="13"/>
  <c r="CR267" i="13"/>
  <c r="CQ267" i="13"/>
  <c r="CP267" i="13"/>
  <c r="CO267" i="13"/>
  <c r="CN267" i="13"/>
  <c r="CM267" i="13"/>
  <c r="CL267" i="13"/>
  <c r="CK267" i="13"/>
  <c r="CJ267" i="13"/>
  <c r="CG267" i="13"/>
  <c r="CF267" i="13"/>
  <c r="CE267" i="13"/>
  <c r="CE307" i="13" s="1"/>
  <c r="CD267" i="13"/>
  <c r="CC267" i="13"/>
  <c r="CB267" i="13"/>
  <c r="CA267" i="13"/>
  <c r="BZ267" i="13"/>
  <c r="BY267" i="13"/>
  <c r="BW267" i="13"/>
  <c r="BV267" i="13"/>
  <c r="BU267" i="13"/>
  <c r="BT267" i="13"/>
  <c r="CW266" i="13"/>
  <c r="CV266" i="13"/>
  <c r="CU266" i="13"/>
  <c r="CT266" i="13"/>
  <c r="CS266" i="13"/>
  <c r="CR266" i="13"/>
  <c r="CQ266" i="13"/>
  <c r="CP266" i="13"/>
  <c r="CO266" i="13"/>
  <c r="CN266" i="13"/>
  <c r="CA266" i="13" s="1"/>
  <c r="CM266" i="13"/>
  <c r="CL266" i="13"/>
  <c r="CK266" i="13"/>
  <c r="CJ266" i="13"/>
  <c r="CG266" i="13"/>
  <c r="CF266" i="13"/>
  <c r="CE266" i="13"/>
  <c r="CD266" i="13"/>
  <c r="CD308" i="13" s="1"/>
  <c r="CC266" i="13"/>
  <c r="CB266" i="13"/>
  <c r="CH266" i="13" s="1"/>
  <c r="BZ266" i="13"/>
  <c r="BY266" i="13"/>
  <c r="BX266" i="13"/>
  <c r="BW266" i="13"/>
  <c r="BV266" i="13"/>
  <c r="BU266" i="13"/>
  <c r="BT266" i="13"/>
  <c r="CW259" i="13"/>
  <c r="CV259" i="13"/>
  <c r="CU259" i="13"/>
  <c r="CT259" i="13"/>
  <c r="CS259" i="13"/>
  <c r="CR259" i="13"/>
  <c r="CQ259" i="13"/>
  <c r="CP259" i="13"/>
  <c r="CO259" i="13"/>
  <c r="CN259" i="13"/>
  <c r="CM259" i="13"/>
  <c r="CL259" i="13"/>
  <c r="CK259" i="13"/>
  <c r="CJ259" i="13"/>
  <c r="CC259" i="13"/>
  <c r="CB259" i="13"/>
  <c r="CW258" i="13"/>
  <c r="CV258" i="13"/>
  <c r="CU258" i="13"/>
  <c r="CT258" i="13"/>
  <c r="CS258" i="13"/>
  <c r="CR258" i="13"/>
  <c r="CQ258" i="13"/>
  <c r="CP258" i="13"/>
  <c r="CO258" i="13"/>
  <c r="CN258" i="13"/>
  <c r="CM258" i="13"/>
  <c r="CL258" i="13"/>
  <c r="CK258" i="13"/>
  <c r="CJ258" i="13"/>
  <c r="CF258" i="13"/>
  <c r="CE258" i="13"/>
  <c r="CD258" i="13"/>
  <c r="CC258" i="13"/>
  <c r="CB258" i="13"/>
  <c r="CH258" i="13" s="1"/>
  <c r="BZ258" i="13"/>
  <c r="BY258" i="13"/>
  <c r="BX258" i="13"/>
  <c r="BW258" i="13"/>
  <c r="BV258" i="13"/>
  <c r="BU258" i="13"/>
  <c r="BT258" i="13"/>
  <c r="CW257" i="13"/>
  <c r="CV257" i="13"/>
  <c r="CU257" i="13"/>
  <c r="CT257" i="13"/>
  <c r="CS257" i="13"/>
  <c r="CR257" i="13"/>
  <c r="CQ257" i="13"/>
  <c r="CP257" i="13"/>
  <c r="CO257" i="13"/>
  <c r="CN257" i="13"/>
  <c r="CM257" i="13"/>
  <c r="CL257" i="13"/>
  <c r="CK257" i="13"/>
  <c r="CJ257" i="13"/>
  <c r="CW256" i="13"/>
  <c r="CV256" i="13"/>
  <c r="CU256" i="13"/>
  <c r="CT256" i="13"/>
  <c r="CS256" i="13"/>
  <c r="CR256" i="13"/>
  <c r="CQ256" i="13"/>
  <c r="CP256" i="13"/>
  <c r="CO256" i="13"/>
  <c r="CN256" i="13"/>
  <c r="CM256" i="13"/>
  <c r="CL256" i="13"/>
  <c r="CK256" i="13"/>
  <c r="CJ256" i="13"/>
  <c r="CW255" i="13"/>
  <c r="CV255" i="13"/>
  <c r="CU255" i="13"/>
  <c r="CT255" i="13"/>
  <c r="CS255" i="13"/>
  <c r="CR255" i="13"/>
  <c r="CQ255" i="13"/>
  <c r="CP255" i="13"/>
  <c r="CO255" i="13"/>
  <c r="CA255" i="13" s="1"/>
  <c r="CN255" i="13"/>
  <c r="CM255" i="13"/>
  <c r="CL255" i="13"/>
  <c r="CK255" i="13"/>
  <c r="CJ255" i="13"/>
  <c r="CH255" i="13"/>
  <c r="CG255" i="13"/>
  <c r="CF255" i="13"/>
  <c r="CE255" i="13"/>
  <c r="CD255" i="13"/>
  <c r="CC255" i="13"/>
  <c r="CB255" i="13"/>
  <c r="BZ255" i="13"/>
  <c r="BY255" i="13"/>
  <c r="BX255" i="13"/>
  <c r="BW255" i="13"/>
  <c r="BV255" i="13"/>
  <c r="BU255" i="13"/>
  <c r="BT255" i="13"/>
  <c r="CW254" i="13"/>
  <c r="CV254" i="13"/>
  <c r="CU254" i="13"/>
  <c r="CT254" i="13"/>
  <c r="CS254" i="13"/>
  <c r="CR254" i="13"/>
  <c r="CQ254" i="13"/>
  <c r="CP254" i="13"/>
  <c r="CO254" i="13"/>
  <c r="CN254" i="13"/>
  <c r="CM254" i="13"/>
  <c r="CL254" i="13"/>
  <c r="CK254" i="13"/>
  <c r="BX254" i="13" s="1"/>
  <c r="CJ254" i="13"/>
  <c r="CF254" i="13"/>
  <c r="CE254" i="13"/>
  <c r="CD254" i="13"/>
  <c r="CC254" i="13"/>
  <c r="CB254" i="13"/>
  <c r="CG254" i="13" s="1"/>
  <c r="BZ254" i="13"/>
  <c r="BY254" i="13"/>
  <c r="BW254" i="13"/>
  <c r="BV254" i="13"/>
  <c r="BU254" i="13"/>
  <c r="BT254" i="13"/>
  <c r="CW253" i="13"/>
  <c r="CV253" i="13"/>
  <c r="CU253" i="13"/>
  <c r="CT253" i="13"/>
  <c r="CS253" i="13"/>
  <c r="CR253" i="13"/>
  <c r="CQ253" i="13"/>
  <c r="CP253" i="13"/>
  <c r="CA253" i="13" s="1"/>
  <c r="CO253" i="13"/>
  <c r="CN253" i="13"/>
  <c r="CM253" i="13"/>
  <c r="CL253" i="13"/>
  <c r="CK253" i="13"/>
  <c r="CJ253" i="13"/>
  <c r="CF253" i="13"/>
  <c r="CE253" i="13"/>
  <c r="CD253" i="13"/>
  <c r="CC253" i="13"/>
  <c r="CB253" i="13"/>
  <c r="CH253" i="13" s="1"/>
  <c r="BZ253" i="13"/>
  <c r="BY253" i="13"/>
  <c r="BW253" i="13"/>
  <c r="BV253" i="13"/>
  <c r="BU253" i="13"/>
  <c r="BT253" i="13"/>
  <c r="CW252" i="13"/>
  <c r="CV252" i="13"/>
  <c r="CU252" i="13"/>
  <c r="CT252" i="13"/>
  <c r="CS252" i="13"/>
  <c r="CR252" i="13"/>
  <c r="CQ252" i="13"/>
  <c r="CP252" i="13"/>
  <c r="CO252" i="13"/>
  <c r="CN252" i="13"/>
  <c r="CM252" i="13"/>
  <c r="CL252" i="13"/>
  <c r="CK252" i="13"/>
  <c r="CJ252" i="13"/>
  <c r="CW251" i="13"/>
  <c r="CV251" i="13"/>
  <c r="CU251" i="13"/>
  <c r="CT251" i="13"/>
  <c r="CS251" i="13"/>
  <c r="CR251" i="13"/>
  <c r="CQ251" i="13"/>
  <c r="CP251" i="13"/>
  <c r="CO251" i="13"/>
  <c r="CN251" i="13"/>
  <c r="CA251" i="13" s="1"/>
  <c r="CM251" i="13"/>
  <c r="CL251" i="13"/>
  <c r="CK251" i="13"/>
  <c r="BX251" i="13" s="1"/>
  <c r="CJ251" i="13"/>
  <c r="CG251" i="13"/>
  <c r="CF251" i="13"/>
  <c r="CE251" i="13"/>
  <c r="CD251" i="13"/>
  <c r="CC251" i="13"/>
  <c r="CB251" i="13"/>
  <c r="CH251" i="13" s="1"/>
  <c r="BZ251" i="13"/>
  <c r="BY251" i="13"/>
  <c r="BW251" i="13"/>
  <c r="BV251" i="13"/>
  <c r="BU251" i="13"/>
  <c r="BT251" i="13"/>
  <c r="CW250" i="13"/>
  <c r="CV250" i="13"/>
  <c r="CU250" i="13"/>
  <c r="CT250" i="13"/>
  <c r="CS250" i="13"/>
  <c r="CR250" i="13"/>
  <c r="CQ250" i="13"/>
  <c r="CP250" i="13"/>
  <c r="CO250" i="13"/>
  <c r="CN250" i="13"/>
  <c r="CM250" i="13"/>
  <c r="CL250" i="13"/>
  <c r="CK250" i="13"/>
  <c r="BX250" i="13" s="1"/>
  <c r="CJ250" i="13"/>
  <c r="CG250" i="13"/>
  <c r="CF250" i="13"/>
  <c r="CE250" i="13"/>
  <c r="CD250" i="13"/>
  <c r="CC250" i="13"/>
  <c r="CB250" i="13"/>
  <c r="CH250" i="13" s="1"/>
  <c r="CA250" i="13"/>
  <c r="BZ250" i="13"/>
  <c r="BY250" i="13"/>
  <c r="BW250" i="13"/>
  <c r="BV250" i="13"/>
  <c r="BU250" i="13"/>
  <c r="BT250" i="13"/>
  <c r="CW249" i="13"/>
  <c r="CV249" i="13"/>
  <c r="CU249" i="13"/>
  <c r="CT249" i="13"/>
  <c r="CS249" i="13"/>
  <c r="CR249" i="13"/>
  <c r="CQ249" i="13"/>
  <c r="CP249" i="13"/>
  <c r="CO249" i="13"/>
  <c r="CA249" i="13" s="1"/>
  <c r="CN249" i="13"/>
  <c r="CM249" i="13"/>
  <c r="CL249" i="13"/>
  <c r="CK249" i="13"/>
  <c r="CJ249" i="13"/>
  <c r="CG249" i="13"/>
  <c r="CF249" i="13"/>
  <c r="CE249" i="13"/>
  <c r="CD249" i="13"/>
  <c r="CC249" i="13"/>
  <c r="CH249" i="13" s="1"/>
  <c r="CB249" i="13"/>
  <c r="BZ249" i="13"/>
  <c r="BY249" i="13"/>
  <c r="BX249" i="13"/>
  <c r="BW249" i="13"/>
  <c r="BV249" i="13"/>
  <c r="BU249" i="13"/>
  <c r="BT249" i="13"/>
  <c r="CW248" i="13"/>
  <c r="CV248" i="13"/>
  <c r="CU248" i="13"/>
  <c r="CT248" i="13"/>
  <c r="CS248" i="13"/>
  <c r="CR248" i="13"/>
  <c r="CQ248" i="13"/>
  <c r="CP248" i="13"/>
  <c r="CO248" i="13"/>
  <c r="CN248" i="13"/>
  <c r="CM248" i="13"/>
  <c r="CL248" i="13"/>
  <c r="CK248" i="13"/>
  <c r="CJ248" i="13"/>
  <c r="CW247" i="13"/>
  <c r="CV247" i="13"/>
  <c r="CU247" i="13"/>
  <c r="CT247" i="13"/>
  <c r="CS247" i="13"/>
  <c r="CR247" i="13"/>
  <c r="CQ247" i="13"/>
  <c r="CP247" i="13"/>
  <c r="CO247" i="13"/>
  <c r="CN247" i="13"/>
  <c r="CM247" i="13"/>
  <c r="CL247" i="13"/>
  <c r="CK247" i="13"/>
  <c r="CH247" i="13"/>
  <c r="CG247" i="13"/>
  <c r="CF247" i="13"/>
  <c r="CE247" i="13"/>
  <c r="CD247" i="13"/>
  <c r="CC247" i="13"/>
  <c r="CB247" i="13"/>
  <c r="CA247" i="13"/>
  <c r="BZ247" i="13"/>
  <c r="BY247" i="13"/>
  <c r="BW247" i="13"/>
  <c r="BV247" i="13"/>
  <c r="BU247" i="13"/>
  <c r="BT247" i="13"/>
  <c r="CW246" i="13"/>
  <c r="CV246" i="13"/>
  <c r="CU246" i="13"/>
  <c r="CT246" i="13"/>
  <c r="CS246" i="13"/>
  <c r="CR246" i="13"/>
  <c r="CQ246" i="13"/>
  <c r="CP246" i="13"/>
  <c r="CO246" i="13"/>
  <c r="CN246" i="13"/>
  <c r="CA246" i="13" s="1"/>
  <c r="CM246" i="13"/>
  <c r="CL246" i="13"/>
  <c r="CK246" i="13"/>
  <c r="CJ246" i="13"/>
  <c r="CF246" i="13"/>
  <c r="CE246" i="13"/>
  <c r="CD246" i="13"/>
  <c r="CC246" i="13"/>
  <c r="CB246" i="13"/>
  <c r="CH246" i="13" s="1"/>
  <c r="BZ246" i="13"/>
  <c r="BY246" i="13"/>
  <c r="BW246" i="13"/>
  <c r="BV246" i="13"/>
  <c r="BU246" i="13"/>
  <c r="BT246" i="13"/>
  <c r="CW245" i="13"/>
  <c r="CV245" i="13"/>
  <c r="CU245" i="13"/>
  <c r="CT245" i="13"/>
  <c r="CS245" i="13"/>
  <c r="CR245" i="13"/>
  <c r="CQ245" i="13"/>
  <c r="CP245" i="13"/>
  <c r="CO245" i="13"/>
  <c r="CA245" i="13" s="1"/>
  <c r="CN245" i="13"/>
  <c r="CM245" i="13"/>
  <c r="CL245" i="13"/>
  <c r="CK245" i="13"/>
  <c r="CJ245" i="13"/>
  <c r="CH245" i="13"/>
  <c r="CG245" i="13"/>
  <c r="CF245" i="13"/>
  <c r="CE245" i="13"/>
  <c r="CD245" i="13"/>
  <c r="CC245" i="13"/>
  <c r="CB245" i="13"/>
  <c r="BZ245" i="13"/>
  <c r="BY245" i="13"/>
  <c r="BX245" i="13"/>
  <c r="BW245" i="13"/>
  <c r="BV245" i="13"/>
  <c r="BU245" i="13"/>
  <c r="BT245" i="13"/>
  <c r="CW244" i="13"/>
  <c r="CV244" i="13"/>
  <c r="CU244" i="13"/>
  <c r="CT244" i="13"/>
  <c r="CS244" i="13"/>
  <c r="CR244" i="13"/>
  <c r="CQ244" i="13"/>
  <c r="CP244" i="13"/>
  <c r="CO244" i="13"/>
  <c r="CA244" i="13" s="1"/>
  <c r="CN244" i="13"/>
  <c r="CM244" i="13"/>
  <c r="CL244" i="13"/>
  <c r="CK244" i="13"/>
  <c r="BX244" i="13" s="1"/>
  <c r="CJ244" i="13"/>
  <c r="CG244" i="13"/>
  <c r="CF244" i="13"/>
  <c r="CE244" i="13"/>
  <c r="CD244" i="13"/>
  <c r="CC244" i="13"/>
  <c r="CB244" i="13"/>
  <c r="CH244" i="13" s="1"/>
  <c r="BZ244" i="13"/>
  <c r="BY244" i="13"/>
  <c r="BW244" i="13"/>
  <c r="BV244" i="13"/>
  <c r="BU244" i="13"/>
  <c r="BT244" i="13"/>
  <c r="CW243" i="13"/>
  <c r="CV243" i="13"/>
  <c r="CU243" i="13"/>
  <c r="CT243" i="13"/>
  <c r="CS243" i="13"/>
  <c r="CR243" i="13"/>
  <c r="CQ243" i="13"/>
  <c r="CP243" i="13"/>
  <c r="CO243" i="13"/>
  <c r="CN243" i="13"/>
  <c r="CM243" i="13"/>
  <c r="CL243" i="13"/>
  <c r="CK243" i="13"/>
  <c r="BX243" i="13" s="1"/>
  <c r="CJ243" i="13"/>
  <c r="CH243" i="13"/>
  <c r="CG243" i="13"/>
  <c r="CF243" i="13"/>
  <c r="CE243" i="13"/>
  <c r="CD243" i="13"/>
  <c r="CC243" i="13"/>
  <c r="CB243" i="13"/>
  <c r="CA243" i="13"/>
  <c r="BZ243" i="13"/>
  <c r="BY243" i="13"/>
  <c r="BW243" i="13"/>
  <c r="BV243" i="13"/>
  <c r="BU243" i="13"/>
  <c r="BT243" i="13"/>
  <c r="CW242" i="13"/>
  <c r="CV242" i="13"/>
  <c r="CU242" i="13"/>
  <c r="CT242" i="13"/>
  <c r="CS242" i="13"/>
  <c r="CR242" i="13"/>
  <c r="CQ242" i="13"/>
  <c r="CP242" i="13"/>
  <c r="CO242" i="13"/>
  <c r="CA242" i="13" s="1"/>
  <c r="CN242" i="13"/>
  <c r="CM242" i="13"/>
  <c r="CL242" i="13"/>
  <c r="CK242" i="13"/>
  <c r="CJ242" i="13"/>
  <c r="CH242" i="13"/>
  <c r="CG242" i="13"/>
  <c r="CF242" i="13"/>
  <c r="CE242" i="13"/>
  <c r="CD242" i="13"/>
  <c r="CC242" i="13"/>
  <c r="CB242" i="13"/>
  <c r="BZ242" i="13"/>
  <c r="BY242" i="13"/>
  <c r="BX242" i="13"/>
  <c r="BW242" i="13"/>
  <c r="BV242" i="13"/>
  <c r="BU242" i="13"/>
  <c r="BT242" i="13"/>
  <c r="CW241" i="13"/>
  <c r="CV241" i="13"/>
  <c r="CU241" i="13"/>
  <c r="CT241" i="13"/>
  <c r="CS241" i="13"/>
  <c r="CR241" i="13"/>
  <c r="CQ241" i="13"/>
  <c r="CP241" i="13"/>
  <c r="CO241" i="13"/>
  <c r="CN241" i="13"/>
  <c r="CM241" i="13"/>
  <c r="CL241" i="13"/>
  <c r="BX241" i="13" s="1"/>
  <c r="CK241" i="13"/>
  <c r="CJ241" i="13"/>
  <c r="CF241" i="13"/>
  <c r="CE241" i="13"/>
  <c r="CD241" i="13"/>
  <c r="CC241" i="13"/>
  <c r="CB241" i="13"/>
  <c r="CH241" i="13" s="1"/>
  <c r="CA241" i="13"/>
  <c r="BZ241" i="13"/>
  <c r="BY241" i="13"/>
  <c r="BW241" i="13"/>
  <c r="BV241" i="13"/>
  <c r="BU241" i="13"/>
  <c r="BT241" i="13"/>
  <c r="CW240" i="13"/>
  <c r="CV240" i="13"/>
  <c r="CU240" i="13"/>
  <c r="CT240" i="13"/>
  <c r="CS240" i="13"/>
  <c r="CR240" i="13"/>
  <c r="CQ240" i="13"/>
  <c r="CP240" i="13"/>
  <c r="CO240" i="13"/>
  <c r="CA240" i="13" s="1"/>
  <c r="CN240" i="13"/>
  <c r="CM240" i="13"/>
  <c r="CL240" i="13"/>
  <c r="CK240" i="13"/>
  <c r="CJ240" i="13"/>
  <c r="CH240" i="13"/>
  <c r="CF240" i="13"/>
  <c r="CE240" i="13"/>
  <c r="CD240" i="13"/>
  <c r="CC240" i="13"/>
  <c r="CB240" i="13"/>
  <c r="CG240" i="13" s="1"/>
  <c r="BZ240" i="13"/>
  <c r="BY240" i="13"/>
  <c r="BX240" i="13"/>
  <c r="BW240" i="13"/>
  <c r="BV240" i="13"/>
  <c r="BU240" i="13"/>
  <c r="BT240" i="13"/>
  <c r="CW239" i="13"/>
  <c r="CV239" i="13"/>
  <c r="CU239" i="13"/>
  <c r="CT239" i="13"/>
  <c r="CS239" i="13"/>
  <c r="CR239" i="13"/>
  <c r="CQ239" i="13"/>
  <c r="CP239" i="13"/>
  <c r="CO239" i="13"/>
  <c r="CA239" i="13" s="1"/>
  <c r="CN239" i="13"/>
  <c r="CM239" i="13"/>
  <c r="CL239" i="13"/>
  <c r="BX239" i="13" s="1"/>
  <c r="CK239" i="13"/>
  <c r="CJ239" i="13"/>
  <c r="CF239" i="13"/>
  <c r="CE239" i="13"/>
  <c r="CD239" i="13"/>
  <c r="CC239" i="13"/>
  <c r="CB239" i="13"/>
  <c r="CH239" i="13" s="1"/>
  <c r="BZ239" i="13"/>
  <c r="BY239" i="13"/>
  <c r="BW239" i="13"/>
  <c r="BV239" i="13"/>
  <c r="BU239" i="13"/>
  <c r="BT239" i="13"/>
  <c r="CW238" i="13"/>
  <c r="CV238" i="13"/>
  <c r="CU238" i="13"/>
  <c r="CT238" i="13"/>
  <c r="CS238" i="13"/>
  <c r="CR238" i="13"/>
  <c r="CQ238" i="13"/>
  <c r="CP238" i="13"/>
  <c r="CO238" i="13"/>
  <c r="CN238" i="13"/>
  <c r="CM238" i="13"/>
  <c r="CL238" i="13"/>
  <c r="CK238" i="13"/>
  <c r="CJ238" i="13"/>
  <c r="BX238" i="13" s="1"/>
  <c r="CH238" i="13"/>
  <c r="CF238" i="13"/>
  <c r="CE238" i="13"/>
  <c r="CD238" i="13"/>
  <c r="CC238" i="13"/>
  <c r="CB238" i="13"/>
  <c r="CG238" i="13" s="1"/>
  <c r="BZ238" i="13"/>
  <c r="BY238" i="13"/>
  <c r="BW238" i="13"/>
  <c r="BV238" i="13"/>
  <c r="BU238" i="13"/>
  <c r="BT238" i="13"/>
  <c r="CW237" i="13"/>
  <c r="CV237" i="13"/>
  <c r="CU237" i="13"/>
  <c r="CT237" i="13"/>
  <c r="CS237" i="13"/>
  <c r="CR237" i="13"/>
  <c r="CQ237" i="13"/>
  <c r="CP237" i="13"/>
  <c r="CO237" i="13"/>
  <c r="CN237" i="13"/>
  <c r="CM237" i="13"/>
  <c r="CL237" i="13"/>
  <c r="CK237" i="13"/>
  <c r="CJ237" i="13"/>
  <c r="CF237" i="13"/>
  <c r="CE237" i="13"/>
  <c r="CD237" i="13"/>
  <c r="CC237" i="13"/>
  <c r="CB237" i="13"/>
  <c r="CH237" i="13" s="1"/>
  <c r="CA237" i="13"/>
  <c r="BZ237" i="13"/>
  <c r="BY237" i="13"/>
  <c r="BW237" i="13"/>
  <c r="BV237" i="13"/>
  <c r="BU237" i="13"/>
  <c r="BT237" i="13"/>
  <c r="CW236" i="13"/>
  <c r="CV236" i="13"/>
  <c r="CU236" i="13"/>
  <c r="CT236" i="13"/>
  <c r="CS236" i="13"/>
  <c r="CR236" i="13"/>
  <c r="CQ236" i="13"/>
  <c r="CP236" i="13"/>
  <c r="CO236" i="13"/>
  <c r="CA236" i="13" s="1"/>
  <c r="CN236" i="13"/>
  <c r="CM236" i="13"/>
  <c r="CL236" i="13"/>
  <c r="CK236" i="13"/>
  <c r="CG236" i="13"/>
  <c r="CF236" i="13"/>
  <c r="CE236" i="13"/>
  <c r="CD236" i="13"/>
  <c r="CC236" i="13"/>
  <c r="CB236" i="13"/>
  <c r="CH236" i="13" s="1"/>
  <c r="BZ236" i="13"/>
  <c r="BY236" i="13"/>
  <c r="BW236" i="13"/>
  <c r="BV236" i="13"/>
  <c r="BU236" i="13"/>
  <c r="BT236" i="13"/>
  <c r="CW235" i="13"/>
  <c r="CV235" i="13"/>
  <c r="CU235" i="13"/>
  <c r="CT235" i="13"/>
  <c r="CS235" i="13"/>
  <c r="CR235" i="13"/>
  <c r="CQ235" i="13"/>
  <c r="CP235" i="13"/>
  <c r="CO235" i="13"/>
  <c r="CN235" i="13"/>
  <c r="CA235" i="13" s="1"/>
  <c r="CM235" i="13"/>
  <c r="CL235" i="13"/>
  <c r="CK235" i="13"/>
  <c r="BX235" i="13" s="1"/>
  <c r="CJ235" i="13"/>
  <c r="CF235" i="13"/>
  <c r="CE235" i="13"/>
  <c r="CD235" i="13"/>
  <c r="CC235" i="13"/>
  <c r="CB235" i="13"/>
  <c r="CG235" i="13" s="1"/>
  <c r="BZ235" i="13"/>
  <c r="BY235" i="13"/>
  <c r="BW235" i="13"/>
  <c r="BV235" i="13"/>
  <c r="BU235" i="13"/>
  <c r="BT235" i="13"/>
  <c r="CW234" i="13"/>
  <c r="CV234" i="13"/>
  <c r="CU234" i="13"/>
  <c r="CT234" i="13"/>
  <c r="CS234" i="13"/>
  <c r="CR234" i="13"/>
  <c r="CQ234" i="13"/>
  <c r="CP234" i="13"/>
  <c r="CO234" i="13"/>
  <c r="CN234" i="13"/>
  <c r="CM234" i="13"/>
  <c r="CL234" i="13"/>
  <c r="CK234" i="13"/>
  <c r="CJ234" i="13"/>
  <c r="CW233" i="13"/>
  <c r="CV233" i="13"/>
  <c r="CU233" i="13"/>
  <c r="CT233" i="13"/>
  <c r="CS233" i="13"/>
  <c r="CR233" i="13"/>
  <c r="CQ233" i="13"/>
  <c r="CP233" i="13"/>
  <c r="CO233" i="13"/>
  <c r="CA233" i="13" s="1"/>
  <c r="CN233" i="13"/>
  <c r="CM233" i="13"/>
  <c r="CL233" i="13"/>
  <c r="CK233" i="13"/>
  <c r="CG233" i="13"/>
  <c r="CF233" i="13"/>
  <c r="CE233" i="13"/>
  <c r="CD233" i="13"/>
  <c r="CC233" i="13"/>
  <c r="CB233" i="13"/>
  <c r="CH233" i="13" s="1"/>
  <c r="BZ233" i="13"/>
  <c r="BY233" i="13"/>
  <c r="BW233" i="13"/>
  <c r="BV233" i="13"/>
  <c r="BU233" i="13"/>
  <c r="BT233" i="13"/>
  <c r="CW232" i="13"/>
  <c r="CV232" i="13"/>
  <c r="CU232" i="13"/>
  <c r="CT232" i="13"/>
  <c r="CS232" i="13"/>
  <c r="CR232" i="13"/>
  <c r="CQ232" i="13"/>
  <c r="CP232" i="13"/>
  <c r="CO232" i="13"/>
  <c r="CN232" i="13"/>
  <c r="CM232" i="13"/>
  <c r="CL232" i="13"/>
  <c r="CK232" i="13"/>
  <c r="CJ232" i="13"/>
  <c r="CW231" i="13"/>
  <c r="CV231" i="13"/>
  <c r="CU231" i="13"/>
  <c r="CT231" i="13"/>
  <c r="CS231" i="13"/>
  <c r="CR231" i="13"/>
  <c r="CQ231" i="13"/>
  <c r="CP231" i="13"/>
  <c r="CO231" i="13"/>
  <c r="CA231" i="13" s="1"/>
  <c r="CN231" i="13"/>
  <c r="CM231" i="13"/>
  <c r="CL231" i="13"/>
  <c r="CK231" i="13"/>
  <c r="CJ231" i="13"/>
  <c r="CG231" i="13"/>
  <c r="CF231" i="13"/>
  <c r="CE231" i="13"/>
  <c r="CD231" i="13"/>
  <c r="CC231" i="13"/>
  <c r="CB231" i="13"/>
  <c r="CH231" i="13" s="1"/>
  <c r="BZ231" i="13"/>
  <c r="BY231" i="13"/>
  <c r="BX231" i="13"/>
  <c r="BW231" i="13"/>
  <c r="BV231" i="13"/>
  <c r="BU231" i="13"/>
  <c r="BT231" i="13"/>
  <c r="CW230" i="13"/>
  <c r="CV230" i="13"/>
  <c r="CU230" i="13"/>
  <c r="CT230" i="13"/>
  <c r="CS230" i="13"/>
  <c r="CR230" i="13"/>
  <c r="CQ230" i="13"/>
  <c r="CP230" i="13"/>
  <c r="CO230" i="13"/>
  <c r="CA230" i="13" s="1"/>
  <c r="CN230" i="13"/>
  <c r="CM230" i="13"/>
  <c r="CL230" i="13"/>
  <c r="CK230" i="13"/>
  <c r="BX230" i="13" s="1"/>
  <c r="CJ230" i="13"/>
  <c r="CF230" i="13"/>
  <c r="CE230" i="13"/>
  <c r="CD230" i="13"/>
  <c r="CD260" i="13" s="1"/>
  <c r="CC230" i="13"/>
  <c r="CB230" i="13"/>
  <c r="CG230" i="13" s="1"/>
  <c r="BZ230" i="13"/>
  <c r="BY230" i="13"/>
  <c r="BW230" i="13"/>
  <c r="BV230" i="13"/>
  <c r="BU230" i="13"/>
  <c r="BT230" i="13"/>
  <c r="CW229" i="13"/>
  <c r="CV229" i="13"/>
  <c r="CU229" i="13"/>
  <c r="CT229" i="13"/>
  <c r="CS229" i="13"/>
  <c r="CR229" i="13"/>
  <c r="CQ229" i="13"/>
  <c r="CP229" i="13"/>
  <c r="CO229" i="13"/>
  <c r="CA229" i="13" s="1"/>
  <c r="CN229" i="13"/>
  <c r="CM229" i="13"/>
  <c r="CL229" i="13"/>
  <c r="CK229" i="13"/>
  <c r="CJ229" i="13"/>
  <c r="CH229" i="13"/>
  <c r="CG229" i="13"/>
  <c r="CF229" i="13"/>
  <c r="CE229" i="13"/>
  <c r="CD229" i="13"/>
  <c r="CC229" i="13"/>
  <c r="CB229" i="13"/>
  <c r="BZ229" i="13"/>
  <c r="BY229" i="13"/>
  <c r="BX229" i="13"/>
  <c r="BW229" i="13"/>
  <c r="BV229" i="13"/>
  <c r="BU229" i="13"/>
  <c r="BT229" i="13"/>
  <c r="CW222" i="13"/>
  <c r="CV222" i="13"/>
  <c r="CU222" i="13"/>
  <c r="CT222" i="13"/>
  <c r="CS222" i="13"/>
  <c r="CR222" i="13"/>
  <c r="CQ222" i="13"/>
  <c r="CP222" i="13"/>
  <c r="CO222" i="13"/>
  <c r="CN222" i="13"/>
  <c r="CA222" i="13" s="1"/>
  <c r="CM222" i="13"/>
  <c r="CL222" i="13"/>
  <c r="CK222" i="13"/>
  <c r="BX222" i="13" s="1"/>
  <c r="CJ222" i="13"/>
  <c r="CG222" i="13"/>
  <c r="CF222" i="13"/>
  <c r="CE222" i="13"/>
  <c r="CD222" i="13"/>
  <c r="CC222" i="13"/>
  <c r="CB222" i="13"/>
  <c r="BZ222" i="13"/>
  <c r="BY222" i="13"/>
  <c r="BW222" i="13"/>
  <c r="BV222" i="13"/>
  <c r="BU222" i="13"/>
  <c r="BT222" i="13"/>
  <c r="CW221" i="13"/>
  <c r="CV221" i="13"/>
  <c r="CU221" i="13"/>
  <c r="CT221" i="13"/>
  <c r="CS221" i="13"/>
  <c r="CR221" i="13"/>
  <c r="CQ221" i="13"/>
  <c r="CP221" i="13"/>
  <c r="CA221" i="13" s="1"/>
  <c r="CO221" i="13"/>
  <c r="CN221" i="13"/>
  <c r="CM221" i="13"/>
  <c r="CL221" i="13"/>
  <c r="CK221" i="13"/>
  <c r="CJ221" i="13"/>
  <c r="BX221" i="13" s="1"/>
  <c r="CH221" i="13"/>
  <c r="CF221" i="13"/>
  <c r="CE221" i="13"/>
  <c r="CD221" i="13"/>
  <c r="CC221" i="13"/>
  <c r="CB221" i="13"/>
  <c r="CG221" i="13" s="1"/>
  <c r="BZ221" i="13"/>
  <c r="BY221" i="13"/>
  <c r="BW221" i="13"/>
  <c r="BV221" i="13"/>
  <c r="BU221" i="13"/>
  <c r="BT221" i="13"/>
  <c r="CW220" i="13"/>
  <c r="CV220" i="13"/>
  <c r="CU220" i="13"/>
  <c r="CT220" i="13"/>
  <c r="CS220" i="13"/>
  <c r="CR220" i="13"/>
  <c r="CQ220" i="13"/>
  <c r="CP220" i="13"/>
  <c r="CO220" i="13"/>
  <c r="CN220" i="13"/>
  <c r="CA220" i="13" s="1"/>
  <c r="CM220" i="13"/>
  <c r="CL220" i="13"/>
  <c r="BX220" i="13" s="1"/>
  <c r="CK220" i="13"/>
  <c r="CJ220" i="13"/>
  <c r="CG220" i="13"/>
  <c r="CF220" i="13"/>
  <c r="CE220" i="13"/>
  <c r="CD220" i="13"/>
  <c r="CC220" i="13"/>
  <c r="CB220" i="13"/>
  <c r="CH220" i="13" s="1"/>
  <c r="BZ220" i="13"/>
  <c r="BY220" i="13"/>
  <c r="BW220" i="13"/>
  <c r="BV220" i="13"/>
  <c r="BU220" i="13"/>
  <c r="BT220" i="13"/>
  <c r="CW219" i="13"/>
  <c r="CV219" i="13"/>
  <c r="CU219" i="13"/>
  <c r="CT219" i="13"/>
  <c r="CS219" i="13"/>
  <c r="CR219" i="13"/>
  <c r="CQ219" i="13"/>
  <c r="CP219" i="13"/>
  <c r="CO219" i="13"/>
  <c r="CN219" i="13"/>
  <c r="CM219" i="13"/>
  <c r="CL219" i="13"/>
  <c r="CK219" i="13"/>
  <c r="CH219" i="13"/>
  <c r="CG219" i="13"/>
  <c r="CF219" i="13"/>
  <c r="CE219" i="13"/>
  <c r="CD219" i="13"/>
  <c r="CC219" i="13"/>
  <c r="CB219" i="13"/>
  <c r="CA219" i="13"/>
  <c r="BZ219" i="13"/>
  <c r="BY219" i="13"/>
  <c r="BW219" i="13"/>
  <c r="BV219" i="13"/>
  <c r="BU219" i="13"/>
  <c r="BT219" i="13"/>
  <c r="CW218" i="13"/>
  <c r="CV218" i="13"/>
  <c r="CU218" i="13"/>
  <c r="CT218" i="13"/>
  <c r="CS218" i="13"/>
  <c r="CR218" i="13"/>
  <c r="CQ218" i="13"/>
  <c r="CP218" i="13"/>
  <c r="CO218" i="13"/>
  <c r="CN218" i="13"/>
  <c r="CM218" i="13"/>
  <c r="CL218" i="13"/>
  <c r="CK218" i="13"/>
  <c r="CJ218" i="13"/>
  <c r="BX218" i="13" s="1"/>
  <c r="CG218" i="13"/>
  <c r="CF218" i="13"/>
  <c r="CE218" i="13"/>
  <c r="CD218" i="13"/>
  <c r="CC218" i="13"/>
  <c r="CB218" i="13"/>
  <c r="CH218" i="13" s="1"/>
  <c r="BZ218" i="13"/>
  <c r="BY218" i="13"/>
  <c r="BW218" i="13"/>
  <c r="BV218" i="13"/>
  <c r="BU218" i="13"/>
  <c r="BT218" i="13"/>
  <c r="CW217" i="13"/>
  <c r="CV217" i="13"/>
  <c r="CU217" i="13"/>
  <c r="CT217" i="13"/>
  <c r="CS217" i="13"/>
  <c r="CR217" i="13"/>
  <c r="CQ217" i="13"/>
  <c r="CP217" i="13"/>
  <c r="CA217" i="13" s="1"/>
  <c r="CO217" i="13"/>
  <c r="CN217" i="13"/>
  <c r="CM217" i="13"/>
  <c r="CL217" i="13"/>
  <c r="CK217" i="13"/>
  <c r="CH217" i="13"/>
  <c r="CF217" i="13"/>
  <c r="CE217" i="13"/>
  <c r="CD217" i="13"/>
  <c r="CC217" i="13"/>
  <c r="CB217" i="13"/>
  <c r="CG217" i="13" s="1"/>
  <c r="BZ217" i="13"/>
  <c r="BY217" i="13"/>
  <c r="BW217" i="13"/>
  <c r="BV217" i="13"/>
  <c r="BU217" i="13"/>
  <c r="BT217" i="13"/>
  <c r="CW216" i="13"/>
  <c r="CV216" i="13"/>
  <c r="CU216" i="13"/>
  <c r="CT216" i="13"/>
  <c r="CS216" i="13"/>
  <c r="CR216" i="13"/>
  <c r="CQ216" i="13"/>
  <c r="CP216" i="13"/>
  <c r="CO216" i="13"/>
  <c r="CN216" i="13"/>
  <c r="CM216" i="13"/>
  <c r="CL216" i="13"/>
  <c r="CK216" i="13"/>
  <c r="BX216" i="13" s="1"/>
  <c r="CJ216" i="13"/>
  <c r="CG216" i="13"/>
  <c r="CF216" i="13"/>
  <c r="CE216" i="13"/>
  <c r="CD216" i="13"/>
  <c r="CC216" i="13"/>
  <c r="CB216" i="13"/>
  <c r="CH216" i="13" s="1"/>
  <c r="CA216" i="13"/>
  <c r="BZ216" i="13"/>
  <c r="BY216" i="13"/>
  <c r="BW216" i="13"/>
  <c r="BV216" i="13"/>
  <c r="BU216" i="13"/>
  <c r="BT216" i="13"/>
  <c r="CW215" i="13"/>
  <c r="CV215" i="13"/>
  <c r="CU215" i="13"/>
  <c r="CT215" i="13"/>
  <c r="CS215" i="13"/>
  <c r="CR215" i="13"/>
  <c r="CQ215" i="13"/>
  <c r="CP215" i="13"/>
  <c r="CO215" i="13"/>
  <c r="CA215" i="13" s="1"/>
  <c r="CN215" i="13"/>
  <c r="CM215" i="13"/>
  <c r="CL215" i="13"/>
  <c r="CK215" i="13"/>
  <c r="CJ215" i="13"/>
  <c r="CH215" i="13"/>
  <c r="CG215" i="13"/>
  <c r="CF215" i="13"/>
  <c r="CE215" i="13"/>
  <c r="CD215" i="13"/>
  <c r="CC215" i="13"/>
  <c r="CB215" i="13"/>
  <c r="BZ215" i="13"/>
  <c r="BY215" i="13"/>
  <c r="BX215" i="13"/>
  <c r="BW215" i="13"/>
  <c r="BV215" i="13"/>
  <c r="BU215" i="13"/>
  <c r="BT215" i="13"/>
  <c r="CW214" i="13"/>
  <c r="CV214" i="13"/>
  <c r="CU214" i="13"/>
  <c r="CT214" i="13"/>
  <c r="CS214" i="13"/>
  <c r="CR214" i="13"/>
  <c r="CQ214" i="13"/>
  <c r="CP214" i="13"/>
  <c r="CO214" i="13"/>
  <c r="CA214" i="13" s="1"/>
  <c r="CN214" i="13"/>
  <c r="CM214" i="13"/>
  <c r="CL214" i="13"/>
  <c r="CK214" i="13"/>
  <c r="CG214" i="13"/>
  <c r="CF214" i="13"/>
  <c r="CE214" i="13"/>
  <c r="CD214" i="13"/>
  <c r="CC214" i="13"/>
  <c r="CH214" i="13" s="1"/>
  <c r="CB214" i="13"/>
  <c r="BZ214" i="13"/>
  <c r="BY214" i="13"/>
  <c r="BW214" i="13"/>
  <c r="BV214" i="13"/>
  <c r="BU214" i="13"/>
  <c r="BT214" i="13"/>
  <c r="CW213" i="13"/>
  <c r="CV213" i="13"/>
  <c r="CU213" i="13"/>
  <c r="CT213" i="13"/>
  <c r="CS213" i="13"/>
  <c r="CR213" i="13"/>
  <c r="CQ213" i="13"/>
  <c r="CP213" i="13"/>
  <c r="CO213" i="13"/>
  <c r="CN213" i="13"/>
  <c r="CM213" i="13"/>
  <c r="CL213" i="13"/>
  <c r="CK213" i="13"/>
  <c r="CJ213" i="13"/>
  <c r="CW212" i="13"/>
  <c r="CV212" i="13"/>
  <c r="CU212" i="13"/>
  <c r="CT212" i="13"/>
  <c r="CS212" i="13"/>
  <c r="CR212" i="13"/>
  <c r="CQ212" i="13"/>
  <c r="CP212" i="13"/>
  <c r="CO212" i="13"/>
  <c r="CA212" i="13" s="1"/>
  <c r="CN212" i="13"/>
  <c r="CM212" i="13"/>
  <c r="CL212" i="13"/>
  <c r="CK212" i="13"/>
  <c r="BX212" i="13" s="1"/>
  <c r="CJ212" i="13"/>
  <c r="CF212" i="13"/>
  <c r="CE212" i="13"/>
  <c r="CD212" i="13"/>
  <c r="CC212" i="13"/>
  <c r="CB212" i="13"/>
  <c r="CH212" i="13" s="1"/>
  <c r="BZ212" i="13"/>
  <c r="BY212" i="13"/>
  <c r="BW212" i="13"/>
  <c r="BV212" i="13"/>
  <c r="BU212" i="13"/>
  <c r="BT212" i="13"/>
  <c r="CW211" i="13"/>
  <c r="CV211" i="13"/>
  <c r="CU211" i="13"/>
  <c r="CT211" i="13"/>
  <c r="CS211" i="13"/>
  <c r="CR211" i="13"/>
  <c r="CQ211" i="13"/>
  <c r="CP211" i="13"/>
  <c r="CO211" i="13"/>
  <c r="CA211" i="13" s="1"/>
  <c r="CN211" i="13"/>
  <c r="CM211" i="13"/>
  <c r="CL211" i="13"/>
  <c r="CK211" i="13"/>
  <c r="BX211" i="13" s="1"/>
  <c r="CJ211" i="13"/>
  <c r="CG211" i="13"/>
  <c r="CF211" i="13"/>
  <c r="CE211" i="13"/>
  <c r="CD211" i="13"/>
  <c r="CC211" i="13"/>
  <c r="CB211" i="13"/>
  <c r="CH211" i="13" s="1"/>
  <c r="BZ211" i="13"/>
  <c r="BY211" i="13"/>
  <c r="BW211" i="13"/>
  <c r="BV211" i="13"/>
  <c r="BU211" i="13"/>
  <c r="BT211" i="13"/>
  <c r="CW210" i="13"/>
  <c r="CV210" i="13"/>
  <c r="CU210" i="13"/>
  <c r="CT210" i="13"/>
  <c r="CS210" i="13"/>
  <c r="CR210" i="13"/>
  <c r="CQ210" i="13"/>
  <c r="CP210" i="13"/>
  <c r="CO210" i="13"/>
  <c r="CN210" i="13"/>
  <c r="CA210" i="13" s="1"/>
  <c r="CM210" i="13"/>
  <c r="CL210" i="13"/>
  <c r="CK210" i="13"/>
  <c r="CF210" i="13"/>
  <c r="CE210" i="13"/>
  <c r="CD210" i="13"/>
  <c r="CC210" i="13"/>
  <c r="CB210" i="13"/>
  <c r="CH210" i="13" s="1"/>
  <c r="BZ210" i="13"/>
  <c r="BY210" i="13"/>
  <c r="BW210" i="13"/>
  <c r="BV210" i="13"/>
  <c r="BU210" i="13"/>
  <c r="BT210" i="13"/>
  <c r="CW209" i="13"/>
  <c r="CV209" i="13"/>
  <c r="CU209" i="13"/>
  <c r="CT209" i="13"/>
  <c r="CS209" i="13"/>
  <c r="CR209" i="13"/>
  <c r="CQ209" i="13"/>
  <c r="CP209" i="13"/>
  <c r="CO209" i="13"/>
  <c r="CN209" i="13"/>
  <c r="CM209" i="13"/>
  <c r="CL209" i="13"/>
  <c r="CK209" i="13"/>
  <c r="CJ209" i="13"/>
  <c r="CW208" i="13"/>
  <c r="CV208" i="13"/>
  <c r="CU208" i="13"/>
  <c r="CT208" i="13"/>
  <c r="CS208" i="13"/>
  <c r="CR208" i="13"/>
  <c r="CQ208" i="13"/>
  <c r="CP208" i="13"/>
  <c r="CO208" i="13"/>
  <c r="CN208" i="13"/>
  <c r="CA208" i="13" s="1"/>
  <c r="CM208" i="13"/>
  <c r="CL208" i="13"/>
  <c r="CK208" i="13"/>
  <c r="CJ208" i="13"/>
  <c r="CF208" i="13"/>
  <c r="CE208" i="13"/>
  <c r="CD208" i="13"/>
  <c r="CC208" i="13"/>
  <c r="CB208" i="13"/>
  <c r="CH208" i="13" s="1"/>
  <c r="BZ208" i="13"/>
  <c r="BY208" i="13"/>
  <c r="BW208" i="13"/>
  <c r="BV208" i="13"/>
  <c r="BU208" i="13"/>
  <c r="BT208" i="13"/>
  <c r="CW207" i="13"/>
  <c r="CV207" i="13"/>
  <c r="CU207" i="13"/>
  <c r="CT207" i="13"/>
  <c r="CS207" i="13"/>
  <c r="CR207" i="13"/>
  <c r="CQ207" i="13"/>
  <c r="CP207" i="13"/>
  <c r="CO207" i="13"/>
  <c r="CA207" i="13" s="1"/>
  <c r="CN207" i="13"/>
  <c r="CM207" i="13"/>
  <c r="CL207" i="13"/>
  <c r="CK207" i="13"/>
  <c r="CH207" i="13"/>
  <c r="CG207" i="13"/>
  <c r="CF207" i="13"/>
  <c r="CE207" i="13"/>
  <c r="CD207" i="13"/>
  <c r="CC207" i="13"/>
  <c r="CB207" i="13"/>
  <c r="BZ207" i="13"/>
  <c r="BY207" i="13"/>
  <c r="BW207" i="13"/>
  <c r="BV207" i="13"/>
  <c r="BU207" i="13"/>
  <c r="BT207" i="13"/>
  <c r="CW206" i="13"/>
  <c r="CV206" i="13"/>
  <c r="CU206" i="13"/>
  <c r="CT206" i="13"/>
  <c r="CS206" i="13"/>
  <c r="CR206" i="13"/>
  <c r="CQ206" i="13"/>
  <c r="CP206" i="13"/>
  <c r="CO206" i="13"/>
  <c r="CN206" i="13"/>
  <c r="CM206" i="13"/>
  <c r="CL206" i="13"/>
  <c r="CK206" i="13"/>
  <c r="BX206" i="13" s="1"/>
  <c r="CJ206" i="13"/>
  <c r="CF206" i="13"/>
  <c r="CE206" i="13"/>
  <c r="CD206" i="13"/>
  <c r="CC206" i="13"/>
  <c r="CB206" i="13"/>
  <c r="CG206" i="13" s="1"/>
  <c r="BZ206" i="13"/>
  <c r="BY206" i="13"/>
  <c r="BW206" i="13"/>
  <c r="BV206" i="13"/>
  <c r="BU206" i="13"/>
  <c r="BT206" i="13"/>
  <c r="CW205" i="13"/>
  <c r="CV205" i="13"/>
  <c r="CU205" i="13"/>
  <c r="CT205" i="13"/>
  <c r="CS205" i="13"/>
  <c r="CR205" i="13"/>
  <c r="CQ205" i="13"/>
  <c r="CP205" i="13"/>
  <c r="CO205" i="13"/>
  <c r="CN205" i="13"/>
  <c r="CM205" i="13"/>
  <c r="CL205" i="13"/>
  <c r="CK205" i="13"/>
  <c r="CJ205" i="13"/>
  <c r="CG205" i="13"/>
  <c r="CF205" i="13"/>
  <c r="CE205" i="13"/>
  <c r="CD205" i="13"/>
  <c r="CC205" i="13"/>
  <c r="CB205" i="13"/>
  <c r="CH205" i="13" s="1"/>
  <c r="CA205" i="13"/>
  <c r="BZ205" i="13"/>
  <c r="BY205" i="13"/>
  <c r="BW205" i="13"/>
  <c r="BV205" i="13"/>
  <c r="BU205" i="13"/>
  <c r="BT205" i="13"/>
  <c r="CW204" i="13"/>
  <c r="CV204" i="13"/>
  <c r="CU204" i="13"/>
  <c r="CT204" i="13"/>
  <c r="CS204" i="13"/>
  <c r="CR204" i="13"/>
  <c r="CQ204" i="13"/>
  <c r="CP204" i="13"/>
  <c r="CO204" i="13"/>
  <c r="CN204" i="13"/>
  <c r="CM204" i="13"/>
  <c r="CL204" i="13"/>
  <c r="CK204" i="13"/>
  <c r="CJ204" i="13"/>
  <c r="BX204" i="13" s="1"/>
  <c r="CF204" i="13"/>
  <c r="CE204" i="13"/>
  <c r="CD204" i="13"/>
  <c r="CC204" i="13"/>
  <c r="CB204" i="13"/>
  <c r="CG204" i="13" s="1"/>
  <c r="BZ204" i="13"/>
  <c r="BY204" i="13"/>
  <c r="BW204" i="13"/>
  <c r="BV204" i="13"/>
  <c r="BU204" i="13"/>
  <c r="BT204" i="13"/>
  <c r="CW203" i="13"/>
  <c r="CV203" i="13"/>
  <c r="CU203" i="13"/>
  <c r="CT203" i="13"/>
  <c r="CS203" i="13"/>
  <c r="CR203" i="13"/>
  <c r="CQ203" i="13"/>
  <c r="CP203" i="13"/>
  <c r="CA203" i="13" s="1"/>
  <c r="CO203" i="13"/>
  <c r="CN203" i="13"/>
  <c r="CM203" i="13"/>
  <c r="CL203" i="13"/>
  <c r="CK203" i="13"/>
  <c r="CJ203" i="13"/>
  <c r="CF203" i="13"/>
  <c r="CE203" i="13"/>
  <c r="CD203" i="13"/>
  <c r="CC203" i="13"/>
  <c r="CB203" i="13"/>
  <c r="BZ203" i="13"/>
  <c r="BY203" i="13"/>
  <c r="BW203" i="13"/>
  <c r="BV203" i="13"/>
  <c r="BU203" i="13"/>
  <c r="BT203" i="13"/>
  <c r="CW202" i="13"/>
  <c r="CV202" i="13"/>
  <c r="CU202" i="13"/>
  <c r="CT202" i="13"/>
  <c r="CS202" i="13"/>
  <c r="CR202" i="13"/>
  <c r="CQ202" i="13"/>
  <c r="CP202" i="13"/>
  <c r="CA202" i="13" s="1"/>
  <c r="CO202" i="13"/>
  <c r="CN202" i="13"/>
  <c r="CM202" i="13"/>
  <c r="CL202" i="13"/>
  <c r="CK202" i="13"/>
  <c r="CJ202" i="13"/>
  <c r="BX202" i="13" s="1"/>
  <c r="CH202" i="13"/>
  <c r="CF202" i="13"/>
  <c r="CE202" i="13"/>
  <c r="CD202" i="13"/>
  <c r="CC202" i="13"/>
  <c r="CB202" i="13"/>
  <c r="CG202" i="13" s="1"/>
  <c r="BZ202" i="13"/>
  <c r="BY202" i="13"/>
  <c r="BW202" i="13"/>
  <c r="BV202" i="13"/>
  <c r="BU202" i="13"/>
  <c r="BT202" i="13"/>
  <c r="CW201" i="13"/>
  <c r="CV201" i="13"/>
  <c r="CU201" i="13"/>
  <c r="CT201" i="13"/>
  <c r="CS201" i="13"/>
  <c r="CR201" i="13"/>
  <c r="CQ201" i="13"/>
  <c r="CP201" i="13"/>
  <c r="CO201" i="13"/>
  <c r="CN201" i="13"/>
  <c r="CM201" i="13"/>
  <c r="CL201" i="13"/>
  <c r="BX201" i="13" s="1"/>
  <c r="CK201" i="13"/>
  <c r="CJ201" i="13"/>
  <c r="CF201" i="13"/>
  <c r="CE201" i="13"/>
  <c r="CD201" i="13"/>
  <c r="CC201" i="13"/>
  <c r="CB201" i="13"/>
  <c r="BZ201" i="13"/>
  <c r="BY201" i="13"/>
  <c r="BW201" i="13"/>
  <c r="BV201" i="13"/>
  <c r="BU201" i="13"/>
  <c r="BT201" i="13"/>
  <c r="CW200" i="13"/>
  <c r="CV200" i="13"/>
  <c r="CU200" i="13"/>
  <c r="CT200" i="13"/>
  <c r="CS200" i="13"/>
  <c r="CR200" i="13"/>
  <c r="CQ200" i="13"/>
  <c r="CP200" i="13"/>
  <c r="CO200" i="13"/>
  <c r="CN200" i="13"/>
  <c r="CM200" i="13"/>
  <c r="CL200" i="13"/>
  <c r="CK200" i="13"/>
  <c r="CJ200" i="13"/>
  <c r="CW199" i="13"/>
  <c r="CV199" i="13"/>
  <c r="CU199" i="13"/>
  <c r="CT199" i="13"/>
  <c r="CS199" i="13"/>
  <c r="CR199" i="13"/>
  <c r="CQ199" i="13"/>
  <c r="CP199" i="13"/>
  <c r="CO199" i="13"/>
  <c r="CA199" i="13" s="1"/>
  <c r="CN199" i="13"/>
  <c r="CM199" i="13"/>
  <c r="CL199" i="13"/>
  <c r="CK199" i="13"/>
  <c r="CJ199" i="13"/>
  <c r="CH199" i="13"/>
  <c r="CG199" i="13"/>
  <c r="CF199" i="13"/>
  <c r="CE199" i="13"/>
  <c r="CD199" i="13"/>
  <c r="CC199" i="13"/>
  <c r="CB199" i="13"/>
  <c r="BZ199" i="13"/>
  <c r="BY199" i="13"/>
  <c r="BX199" i="13"/>
  <c r="BW199" i="13"/>
  <c r="BV199" i="13"/>
  <c r="BU199" i="13"/>
  <c r="BT199" i="13"/>
  <c r="CW198" i="13"/>
  <c r="CV198" i="13"/>
  <c r="CU198" i="13"/>
  <c r="CT198" i="13"/>
  <c r="CS198" i="13"/>
  <c r="CR198" i="13"/>
  <c r="CQ198" i="13"/>
  <c r="CP198" i="13"/>
  <c r="CO198" i="13"/>
  <c r="CN198" i="13"/>
  <c r="CM198" i="13"/>
  <c r="CL198" i="13"/>
  <c r="BX198" i="13" s="1"/>
  <c r="CK198" i="13"/>
  <c r="CJ198" i="13"/>
  <c r="CF198" i="13"/>
  <c r="CE198" i="13"/>
  <c r="CD198" i="13"/>
  <c r="CC198" i="13"/>
  <c r="CB198" i="13"/>
  <c r="CH198" i="13" s="1"/>
  <c r="CA198" i="13"/>
  <c r="BZ198" i="13"/>
  <c r="BY198" i="13"/>
  <c r="BW198" i="13"/>
  <c r="BV198" i="13"/>
  <c r="BU198" i="13"/>
  <c r="BT198" i="13"/>
  <c r="CW197" i="13"/>
  <c r="CV197" i="13"/>
  <c r="CU197" i="13"/>
  <c r="CT197" i="13"/>
  <c r="CS197" i="13"/>
  <c r="CR197" i="13"/>
  <c r="CQ197" i="13"/>
  <c r="CP197" i="13"/>
  <c r="CO197" i="13"/>
  <c r="CA197" i="13" s="1"/>
  <c r="CN197" i="13"/>
  <c r="CM197" i="13"/>
  <c r="CL197" i="13"/>
  <c r="CK197" i="13"/>
  <c r="CJ197" i="13"/>
  <c r="CH197" i="13"/>
  <c r="CF197" i="13"/>
  <c r="CE197" i="13"/>
  <c r="CD197" i="13"/>
  <c r="CC197" i="13"/>
  <c r="CB197" i="13"/>
  <c r="CG197" i="13" s="1"/>
  <c r="BZ197" i="13"/>
  <c r="BY197" i="13"/>
  <c r="BX197" i="13"/>
  <c r="BW197" i="13"/>
  <c r="BV197" i="13"/>
  <c r="BU197" i="13"/>
  <c r="BT197" i="13"/>
  <c r="CW196" i="13"/>
  <c r="CV196" i="13"/>
  <c r="CU196" i="13"/>
  <c r="CT196" i="13"/>
  <c r="CS196" i="13"/>
  <c r="CR196" i="13"/>
  <c r="CQ196" i="13"/>
  <c r="CP196" i="13"/>
  <c r="CO196" i="13"/>
  <c r="CA196" i="13" s="1"/>
  <c r="CN196" i="13"/>
  <c r="CM196" i="13"/>
  <c r="CL196" i="13"/>
  <c r="BX196" i="13" s="1"/>
  <c r="CK196" i="13"/>
  <c r="CJ196" i="13"/>
  <c r="CF196" i="13"/>
  <c r="CE196" i="13"/>
  <c r="CD196" i="13"/>
  <c r="CC196" i="13"/>
  <c r="CB196" i="13"/>
  <c r="CH196" i="13" s="1"/>
  <c r="BZ196" i="13"/>
  <c r="BY196" i="13"/>
  <c r="BW196" i="13"/>
  <c r="BV196" i="13"/>
  <c r="BU196" i="13"/>
  <c r="BT196" i="13"/>
  <c r="CW195" i="13"/>
  <c r="CV195" i="13"/>
  <c r="CU195" i="13"/>
  <c r="CT195" i="13"/>
  <c r="CS195" i="13"/>
  <c r="CR195" i="13"/>
  <c r="CQ195" i="13"/>
  <c r="CP195" i="13"/>
  <c r="CO195" i="13"/>
  <c r="CA195" i="13" s="1"/>
  <c r="CN195" i="13"/>
  <c r="CM195" i="13"/>
  <c r="CL195" i="13"/>
  <c r="CK195" i="13"/>
  <c r="CH195" i="13"/>
  <c r="CG195" i="13"/>
  <c r="CF195" i="13"/>
  <c r="CE195" i="13"/>
  <c r="CD195" i="13"/>
  <c r="CC195" i="13"/>
  <c r="CB195" i="13"/>
  <c r="BZ195" i="13"/>
  <c r="BY195" i="13"/>
  <c r="BW195" i="13"/>
  <c r="BV195" i="13"/>
  <c r="BU195" i="13"/>
  <c r="BT195" i="13"/>
  <c r="CW194" i="13"/>
  <c r="CV194" i="13"/>
  <c r="CU194" i="13"/>
  <c r="CT194" i="13"/>
  <c r="CS194" i="13"/>
  <c r="CR194" i="13"/>
  <c r="CQ194" i="13"/>
  <c r="CP194" i="13"/>
  <c r="CO194" i="13"/>
  <c r="CN194" i="13"/>
  <c r="CM194" i="13"/>
  <c r="CL194" i="13"/>
  <c r="CK194" i="13"/>
  <c r="CF194" i="13"/>
  <c r="CE194" i="13"/>
  <c r="CD194" i="13"/>
  <c r="CC194" i="13"/>
  <c r="CB194" i="13"/>
  <c r="CH194" i="13" s="1"/>
  <c r="BZ194" i="13"/>
  <c r="BY194" i="13"/>
  <c r="BW194" i="13"/>
  <c r="BV194" i="13"/>
  <c r="BU194" i="13"/>
  <c r="BT194" i="13"/>
  <c r="CW193" i="13"/>
  <c r="CV193" i="13"/>
  <c r="CU193" i="13"/>
  <c r="CT193" i="13"/>
  <c r="CS193" i="13"/>
  <c r="CR193" i="13"/>
  <c r="CQ193" i="13"/>
  <c r="CP193" i="13"/>
  <c r="CO193" i="13"/>
  <c r="CA193" i="13" s="1"/>
  <c r="CN193" i="13"/>
  <c r="CM193" i="13"/>
  <c r="CL193" i="13"/>
  <c r="CK193" i="13"/>
  <c r="CF193" i="13"/>
  <c r="CE193" i="13"/>
  <c r="CD193" i="13"/>
  <c r="CC193" i="13"/>
  <c r="CB193" i="13"/>
  <c r="CH193" i="13" s="1"/>
  <c r="BZ193" i="13"/>
  <c r="BY193" i="13"/>
  <c r="BW193" i="13"/>
  <c r="BV193" i="13"/>
  <c r="BU193" i="13"/>
  <c r="BT193" i="13"/>
  <c r="CW192" i="13"/>
  <c r="CV192" i="13"/>
  <c r="CU192" i="13"/>
  <c r="CT192" i="13"/>
  <c r="CS192" i="13"/>
  <c r="CR192" i="13"/>
  <c r="CQ192" i="13"/>
  <c r="CP192" i="13"/>
  <c r="CO192" i="13"/>
  <c r="CN192" i="13"/>
  <c r="CM192" i="13"/>
  <c r="CL192" i="13"/>
  <c r="CK192" i="13"/>
  <c r="CJ192" i="13"/>
  <c r="CF192" i="13"/>
  <c r="CE192" i="13"/>
  <c r="CD192" i="13"/>
  <c r="CC192" i="13"/>
  <c r="CB192" i="13"/>
  <c r="BZ192" i="13"/>
  <c r="BY192" i="13"/>
  <c r="BX192" i="13"/>
  <c r="BW192" i="13"/>
  <c r="BV192" i="13"/>
  <c r="BU192" i="13"/>
  <c r="BT192" i="13"/>
  <c r="CW191" i="13"/>
  <c r="CV191" i="13"/>
  <c r="CU191" i="13"/>
  <c r="CT191" i="13"/>
  <c r="CS191" i="13"/>
  <c r="CR191" i="13"/>
  <c r="CQ191" i="13"/>
  <c r="CP191" i="13"/>
  <c r="CO191" i="13"/>
  <c r="CN191" i="13"/>
  <c r="CM191" i="13"/>
  <c r="CL191" i="13"/>
  <c r="CK191" i="13"/>
  <c r="CJ191" i="13"/>
  <c r="CF191" i="13"/>
  <c r="CE191" i="13"/>
  <c r="CD191" i="13"/>
  <c r="CC191" i="13"/>
  <c r="CB191" i="13"/>
  <c r="CH191" i="13" s="1"/>
  <c r="CA191" i="13"/>
  <c r="BZ191" i="13"/>
  <c r="BY191" i="13"/>
  <c r="BW191" i="13"/>
  <c r="BV191" i="13"/>
  <c r="BU191" i="13"/>
  <c r="BT191" i="13"/>
  <c r="CW190" i="13"/>
  <c r="CV190" i="13"/>
  <c r="CU190" i="13"/>
  <c r="CT190" i="13"/>
  <c r="CS190" i="13"/>
  <c r="CR190" i="13"/>
  <c r="CQ190" i="13"/>
  <c r="CP190" i="13"/>
  <c r="CO190" i="13"/>
  <c r="CN190" i="13"/>
  <c r="CM190" i="13"/>
  <c r="CL190" i="13"/>
  <c r="CK190" i="13"/>
  <c r="CJ190" i="13"/>
  <c r="CG190" i="13"/>
  <c r="CF190" i="13"/>
  <c r="CE190" i="13"/>
  <c r="CD190" i="13"/>
  <c r="CC190" i="13"/>
  <c r="CH190" i="13" s="1"/>
  <c r="CB190" i="13"/>
  <c r="BZ190" i="13"/>
  <c r="BY190" i="13"/>
  <c r="BX190" i="13"/>
  <c r="BW190" i="13"/>
  <c r="BV190" i="13"/>
  <c r="BU190" i="13"/>
  <c r="BT190" i="13"/>
  <c r="CW189" i="13"/>
  <c r="CV189" i="13"/>
  <c r="CU189" i="13"/>
  <c r="CT189" i="13"/>
  <c r="CS189" i="13"/>
  <c r="CR189" i="13"/>
  <c r="CQ189" i="13"/>
  <c r="CP189" i="13"/>
  <c r="CO189" i="13"/>
  <c r="CN189" i="13"/>
  <c r="CA189" i="13" s="1"/>
  <c r="CM189" i="13"/>
  <c r="CL189" i="13"/>
  <c r="CK189" i="13"/>
  <c r="CF189" i="13"/>
  <c r="CE189" i="13"/>
  <c r="CD189" i="13"/>
  <c r="CC189" i="13"/>
  <c r="CB189" i="13"/>
  <c r="BZ189" i="13"/>
  <c r="BY189" i="13"/>
  <c r="BW189" i="13"/>
  <c r="BV189" i="13"/>
  <c r="BU189" i="13"/>
  <c r="BT189" i="13"/>
  <c r="CW188" i="13"/>
  <c r="CV188" i="13"/>
  <c r="CU188" i="13"/>
  <c r="CT188" i="13"/>
  <c r="CS188" i="13"/>
  <c r="CR188" i="13"/>
  <c r="CQ188" i="13"/>
  <c r="CP188" i="13"/>
  <c r="CO188" i="13"/>
  <c r="CN188" i="13"/>
  <c r="CM188" i="13"/>
  <c r="CL188" i="13"/>
  <c r="CK188" i="13"/>
  <c r="CG188" i="13"/>
  <c r="CF188" i="13"/>
  <c r="CE188" i="13"/>
  <c r="CD188" i="13"/>
  <c r="CC188" i="13"/>
  <c r="CH188" i="13" s="1"/>
  <c r="CB188" i="13"/>
  <c r="CA188" i="13"/>
  <c r="BZ188" i="13"/>
  <c r="BY188" i="13"/>
  <c r="BW188" i="13"/>
  <c r="BV188" i="13"/>
  <c r="BU188" i="13"/>
  <c r="BT188" i="13"/>
  <c r="CW187" i="13"/>
  <c r="CV187" i="13"/>
  <c r="CU187" i="13"/>
  <c r="CT187" i="13"/>
  <c r="CS187" i="13"/>
  <c r="CR187" i="13"/>
  <c r="CQ187" i="13"/>
  <c r="CP187" i="13"/>
  <c r="CO187" i="13"/>
  <c r="CN187" i="13"/>
  <c r="CA187" i="13" s="1"/>
  <c r="CM187" i="13"/>
  <c r="CL187" i="13"/>
  <c r="CK187" i="13"/>
  <c r="CJ187" i="13"/>
  <c r="CF187" i="13"/>
  <c r="CE187" i="13"/>
  <c r="CD187" i="13"/>
  <c r="CC187" i="13"/>
  <c r="CB187" i="13"/>
  <c r="CH187" i="13" s="1"/>
  <c r="BZ187" i="13"/>
  <c r="BY187" i="13"/>
  <c r="BW187" i="13"/>
  <c r="BV187" i="13"/>
  <c r="BU187" i="13"/>
  <c r="BT187" i="13"/>
  <c r="CW186" i="13"/>
  <c r="CV186" i="13"/>
  <c r="CU186" i="13"/>
  <c r="CT186" i="13"/>
  <c r="CS186" i="13"/>
  <c r="CR186" i="13"/>
  <c r="CQ186" i="13"/>
  <c r="CP186" i="13"/>
  <c r="CO186" i="13"/>
  <c r="CA186" i="13" s="1"/>
  <c r="CN186" i="13"/>
  <c r="CM186" i="13"/>
  <c r="CL186" i="13"/>
  <c r="CK186" i="13"/>
  <c r="CH186" i="13"/>
  <c r="CG186" i="13"/>
  <c r="CF186" i="13"/>
  <c r="CE186" i="13"/>
  <c r="CD186" i="13"/>
  <c r="CC186" i="13"/>
  <c r="CB186" i="13"/>
  <c r="BZ186" i="13"/>
  <c r="BY186" i="13"/>
  <c r="BW186" i="13"/>
  <c r="BV186" i="13"/>
  <c r="BU186" i="13"/>
  <c r="BT186" i="13"/>
  <c r="CW185" i="13"/>
  <c r="CV185" i="13"/>
  <c r="CU185" i="13"/>
  <c r="CT185" i="13"/>
  <c r="CS185" i="13"/>
  <c r="CR185" i="13"/>
  <c r="CQ185" i="13"/>
  <c r="CP185" i="13"/>
  <c r="CO185" i="13"/>
  <c r="CN185" i="13"/>
  <c r="CM185" i="13"/>
  <c r="CL185" i="13"/>
  <c r="CK185" i="13"/>
  <c r="BX185" i="13" s="1"/>
  <c r="CJ185" i="13"/>
  <c r="CF185" i="13"/>
  <c r="CE185" i="13"/>
  <c r="CD185" i="13"/>
  <c r="CC185" i="13"/>
  <c r="CB185" i="13"/>
  <c r="CG185" i="13" s="1"/>
  <c r="CA185" i="13"/>
  <c r="BZ185" i="13"/>
  <c r="BY185" i="13"/>
  <c r="BW185" i="13"/>
  <c r="BV185" i="13"/>
  <c r="BU185" i="13"/>
  <c r="BT185" i="13"/>
  <c r="CW184" i="13"/>
  <c r="CV184" i="13"/>
  <c r="CU184" i="13"/>
  <c r="CT184" i="13"/>
  <c r="CS184" i="13"/>
  <c r="CR184" i="13"/>
  <c r="CQ184" i="13"/>
  <c r="CP184" i="13"/>
  <c r="CO184" i="13"/>
  <c r="CA184" i="13" s="1"/>
  <c r="CN184" i="13"/>
  <c r="CM184" i="13"/>
  <c r="CL184" i="13"/>
  <c r="CK184" i="13"/>
  <c r="CG184" i="13"/>
  <c r="CF184" i="13"/>
  <c r="CE184" i="13"/>
  <c r="CD184" i="13"/>
  <c r="CC184" i="13"/>
  <c r="CH184" i="13" s="1"/>
  <c r="CB184" i="13"/>
  <c r="BZ184" i="13"/>
  <c r="BY184" i="13"/>
  <c r="BW184" i="13"/>
  <c r="BV184" i="13"/>
  <c r="BU184" i="13"/>
  <c r="BT184" i="13"/>
  <c r="CW183" i="13"/>
  <c r="CV183" i="13"/>
  <c r="CU183" i="13"/>
  <c r="CT183" i="13"/>
  <c r="CS183" i="13"/>
  <c r="CR183" i="13"/>
  <c r="CQ183" i="13"/>
  <c r="CP183" i="13"/>
  <c r="CO183" i="13"/>
  <c r="CN183" i="13"/>
  <c r="CM183" i="13"/>
  <c r="CL183" i="13"/>
  <c r="CK183" i="13"/>
  <c r="CJ183" i="13"/>
  <c r="CF183" i="13"/>
  <c r="CE183" i="13"/>
  <c r="CD183" i="13"/>
  <c r="CC183" i="13"/>
  <c r="CB183" i="13"/>
  <c r="CH183" i="13" s="1"/>
  <c r="CA183" i="13"/>
  <c r="BZ183" i="13"/>
  <c r="BY183" i="13"/>
  <c r="BW183" i="13"/>
  <c r="BV183" i="13"/>
  <c r="BU183" i="13"/>
  <c r="BT183" i="13"/>
  <c r="CW182" i="13"/>
  <c r="CV182" i="13"/>
  <c r="CU182" i="13"/>
  <c r="CT182" i="13"/>
  <c r="CS182" i="13"/>
  <c r="CR182" i="13"/>
  <c r="CQ182" i="13"/>
  <c r="CP182" i="13"/>
  <c r="CO182" i="13"/>
  <c r="CA182" i="13" s="1"/>
  <c r="CN182" i="13"/>
  <c r="CM182" i="13"/>
  <c r="CL182" i="13"/>
  <c r="CK182" i="13"/>
  <c r="BX182" i="13" s="1"/>
  <c r="CJ182" i="13"/>
  <c r="CH182" i="13"/>
  <c r="CG182" i="13"/>
  <c r="CF182" i="13"/>
  <c r="CE182" i="13"/>
  <c r="CD182" i="13"/>
  <c r="CC182" i="13"/>
  <c r="CB182" i="13"/>
  <c r="BZ182" i="13"/>
  <c r="BY182" i="13"/>
  <c r="BW182" i="13"/>
  <c r="BV182" i="13"/>
  <c r="BU182" i="13"/>
  <c r="BT182" i="13"/>
  <c r="CW181" i="13"/>
  <c r="CV181" i="13"/>
  <c r="CU181" i="13"/>
  <c r="CT181" i="13"/>
  <c r="CS181" i="13"/>
  <c r="CR181" i="13"/>
  <c r="CQ181" i="13"/>
  <c r="CP181" i="13"/>
  <c r="CO181" i="13"/>
  <c r="CN181" i="13"/>
  <c r="CM181" i="13"/>
  <c r="CL181" i="13"/>
  <c r="CK181" i="13"/>
  <c r="BX181" i="13" s="1"/>
  <c r="CJ181" i="13"/>
  <c r="CF181" i="13"/>
  <c r="CE181" i="13"/>
  <c r="CD181" i="13"/>
  <c r="CC181" i="13"/>
  <c r="CB181" i="13"/>
  <c r="CA181" i="13"/>
  <c r="BZ181" i="13"/>
  <c r="BY181" i="13"/>
  <c r="BW181" i="13"/>
  <c r="BV181" i="13"/>
  <c r="BU181" i="13"/>
  <c r="BT181" i="13"/>
  <c r="CW180" i="13"/>
  <c r="CV180" i="13"/>
  <c r="CU180" i="13"/>
  <c r="CT180" i="13"/>
  <c r="CS180" i="13"/>
  <c r="CR180" i="13"/>
  <c r="CQ180" i="13"/>
  <c r="CP180" i="13"/>
  <c r="CO180" i="13"/>
  <c r="CA180" i="13" s="1"/>
  <c r="CN180" i="13"/>
  <c r="CM180" i="13"/>
  <c r="CL180" i="13"/>
  <c r="CK180" i="13"/>
  <c r="CJ180" i="13"/>
  <c r="CF180" i="13"/>
  <c r="CE180" i="13"/>
  <c r="CD180" i="13"/>
  <c r="CC180" i="13"/>
  <c r="CB180" i="13"/>
  <c r="CH180" i="13" s="1"/>
  <c r="BZ180" i="13"/>
  <c r="BY180" i="13"/>
  <c r="BX180" i="13"/>
  <c r="BW180" i="13"/>
  <c r="BV180" i="13"/>
  <c r="BU180" i="13"/>
  <c r="BT180" i="13"/>
  <c r="CW179" i="13"/>
  <c r="CV179" i="13"/>
  <c r="CU179" i="13"/>
  <c r="CT179" i="13"/>
  <c r="CS179" i="13"/>
  <c r="CR179" i="13"/>
  <c r="CQ179" i="13"/>
  <c r="CP179" i="13"/>
  <c r="CO179" i="13"/>
  <c r="CA179" i="13" s="1"/>
  <c r="CN179" i="13"/>
  <c r="CM179" i="13"/>
  <c r="CL179" i="13"/>
  <c r="CK179" i="13"/>
  <c r="CF179" i="13"/>
  <c r="CE179" i="13"/>
  <c r="CD179" i="13"/>
  <c r="CC179" i="13"/>
  <c r="CB179" i="13"/>
  <c r="BZ179" i="13"/>
  <c r="BY179" i="13"/>
  <c r="BW179" i="13"/>
  <c r="BV179" i="13"/>
  <c r="BU179" i="13"/>
  <c r="BT179" i="13"/>
  <c r="CW178" i="13"/>
  <c r="CV178" i="13"/>
  <c r="CU178" i="13"/>
  <c r="CT178" i="13"/>
  <c r="CS178" i="13"/>
  <c r="CR178" i="13"/>
  <c r="CQ178" i="13"/>
  <c r="CP178" i="13"/>
  <c r="CO178" i="13"/>
  <c r="CN178" i="13"/>
  <c r="CM178" i="13"/>
  <c r="CL178" i="13"/>
  <c r="CK178" i="13"/>
  <c r="BX178" i="13" s="1"/>
  <c r="CJ178" i="13"/>
  <c r="CF178" i="13"/>
  <c r="CE178" i="13"/>
  <c r="CD178" i="13"/>
  <c r="CC178" i="13"/>
  <c r="CB178" i="13"/>
  <c r="CH178" i="13" s="1"/>
  <c r="CA178" i="13"/>
  <c r="BZ178" i="13"/>
  <c r="BY178" i="13"/>
  <c r="BW178" i="13"/>
  <c r="BV178" i="13"/>
  <c r="BU178" i="13"/>
  <c r="BT178" i="13"/>
  <c r="CW177" i="13"/>
  <c r="CV177" i="13"/>
  <c r="CU177" i="13"/>
  <c r="CT177" i="13"/>
  <c r="CS177" i="13"/>
  <c r="CR177" i="13"/>
  <c r="CQ177" i="13"/>
  <c r="CP177" i="13"/>
  <c r="CO177" i="13"/>
  <c r="CA177" i="13" s="1"/>
  <c r="CN177" i="13"/>
  <c r="CM177" i="13"/>
  <c r="CL177" i="13"/>
  <c r="CK177" i="13"/>
  <c r="CJ177" i="13"/>
  <c r="CG177" i="13"/>
  <c r="CF177" i="13"/>
  <c r="CE177" i="13"/>
  <c r="CE225" i="13" s="1"/>
  <c r="CD177" i="13"/>
  <c r="CC177" i="13"/>
  <c r="CB177" i="13"/>
  <c r="CH177" i="13" s="1"/>
  <c r="BZ177" i="13"/>
  <c r="BY177" i="13"/>
  <c r="BX177" i="13"/>
  <c r="BW177" i="13"/>
  <c r="BV177" i="13"/>
  <c r="BU177" i="13"/>
  <c r="BT177" i="13"/>
  <c r="CW170" i="13"/>
  <c r="CV170" i="13"/>
  <c r="CU170" i="13"/>
  <c r="CT170" i="13"/>
  <c r="CS170" i="13"/>
  <c r="CR170" i="13"/>
  <c r="CQ170" i="13"/>
  <c r="CP170" i="13"/>
  <c r="CO170" i="13"/>
  <c r="CA170" i="13" s="1"/>
  <c r="CN170" i="13"/>
  <c r="CM170" i="13"/>
  <c r="CL170" i="13"/>
  <c r="CK170" i="13"/>
  <c r="CG170" i="13"/>
  <c r="CF170" i="13"/>
  <c r="CE170" i="13"/>
  <c r="CD170" i="13"/>
  <c r="CC170" i="13"/>
  <c r="CB170" i="13"/>
  <c r="CH170" i="13" s="1"/>
  <c r="BZ170" i="13"/>
  <c r="BY170" i="13"/>
  <c r="BW170" i="13"/>
  <c r="BV170" i="13"/>
  <c r="BU170" i="13"/>
  <c r="BT170" i="13"/>
  <c r="CW169" i="13"/>
  <c r="CV169" i="13"/>
  <c r="CU169" i="13"/>
  <c r="CT169" i="13"/>
  <c r="CS169" i="13"/>
  <c r="CR169" i="13"/>
  <c r="CQ169" i="13"/>
  <c r="CP169" i="13"/>
  <c r="CO169" i="13"/>
  <c r="CN169" i="13"/>
  <c r="CM169" i="13"/>
  <c r="CL169" i="13"/>
  <c r="CK169" i="13"/>
  <c r="CJ169" i="13"/>
  <c r="BX169" i="13" s="1"/>
  <c r="CF169" i="13"/>
  <c r="CE169" i="13"/>
  <c r="CD169" i="13"/>
  <c r="CC169" i="13"/>
  <c r="CB169" i="13"/>
  <c r="CG169" i="13" s="1"/>
  <c r="BZ169" i="13"/>
  <c r="BY169" i="13"/>
  <c r="BW169" i="13"/>
  <c r="BV169" i="13"/>
  <c r="BU169" i="13"/>
  <c r="BT169" i="13"/>
  <c r="CW168" i="13"/>
  <c r="CV168" i="13"/>
  <c r="CU168" i="13"/>
  <c r="CT168" i="13"/>
  <c r="CS168" i="13"/>
  <c r="CR168" i="13"/>
  <c r="CQ168" i="13"/>
  <c r="CP168" i="13"/>
  <c r="CA168" i="13" s="1"/>
  <c r="CO168" i="13"/>
  <c r="CN168" i="13"/>
  <c r="CM168" i="13"/>
  <c r="CL168" i="13"/>
  <c r="CK168" i="13"/>
  <c r="CJ168" i="13"/>
  <c r="CH168" i="13"/>
  <c r="CF168" i="13"/>
  <c r="CE168" i="13"/>
  <c r="CD168" i="13"/>
  <c r="CC168" i="13"/>
  <c r="CB168" i="13"/>
  <c r="CG168" i="13" s="1"/>
  <c r="BZ168" i="13"/>
  <c r="BY168" i="13"/>
  <c r="BW168" i="13"/>
  <c r="BV168" i="13"/>
  <c r="BU168" i="13"/>
  <c r="BT168" i="13"/>
  <c r="CW167" i="13"/>
  <c r="CV167" i="13"/>
  <c r="CU167" i="13"/>
  <c r="CT167" i="13"/>
  <c r="CS167" i="13"/>
  <c r="CR167" i="13"/>
  <c r="CQ167" i="13"/>
  <c r="CP167" i="13"/>
  <c r="CO167" i="13"/>
  <c r="CN167" i="13"/>
  <c r="CM167" i="13"/>
  <c r="CL167" i="13"/>
  <c r="CK167" i="13"/>
  <c r="CH167" i="13"/>
  <c r="CF167" i="13"/>
  <c r="CE167" i="13"/>
  <c r="CD167" i="13"/>
  <c r="CC167" i="13"/>
  <c r="CB167" i="13"/>
  <c r="CG167" i="13" s="1"/>
  <c r="CA167" i="13"/>
  <c r="BZ167" i="13"/>
  <c r="BY167" i="13"/>
  <c r="BW167" i="13"/>
  <c r="BV167" i="13"/>
  <c r="BU167" i="13"/>
  <c r="BT167" i="13"/>
  <c r="CW166" i="13"/>
  <c r="CV166" i="13"/>
  <c r="CU166" i="13"/>
  <c r="CT166" i="13"/>
  <c r="CS166" i="13"/>
  <c r="CR166" i="13"/>
  <c r="CQ166" i="13"/>
  <c r="CP166" i="13"/>
  <c r="CO166" i="13"/>
  <c r="CA166" i="13" s="1"/>
  <c r="CN166" i="13"/>
  <c r="CM166" i="13"/>
  <c r="CL166" i="13"/>
  <c r="CK166" i="13"/>
  <c r="CF166" i="13"/>
  <c r="CE166" i="13"/>
  <c r="CD166" i="13"/>
  <c r="CC166" i="13"/>
  <c r="CB166" i="13"/>
  <c r="CH166" i="13" s="1"/>
  <c r="BZ166" i="13"/>
  <c r="BY166" i="13"/>
  <c r="BW166" i="13"/>
  <c r="BV166" i="13"/>
  <c r="BU166" i="13"/>
  <c r="BT166" i="13"/>
  <c r="CW165" i="13"/>
  <c r="CV165" i="13"/>
  <c r="CU165" i="13"/>
  <c r="CT165" i="13"/>
  <c r="CS165" i="13"/>
  <c r="CR165" i="13"/>
  <c r="CQ165" i="13"/>
  <c r="CP165" i="13"/>
  <c r="CO165" i="13"/>
  <c r="CA165" i="13" s="1"/>
  <c r="CN165" i="13"/>
  <c r="CM165" i="13"/>
  <c r="CL165" i="13"/>
  <c r="CK165" i="13"/>
  <c r="CH165" i="13"/>
  <c r="CG165" i="13"/>
  <c r="CF165" i="13"/>
  <c r="CE165" i="13"/>
  <c r="CD165" i="13"/>
  <c r="CC165" i="13"/>
  <c r="CB165" i="13"/>
  <c r="BZ165" i="13"/>
  <c r="BY165" i="13"/>
  <c r="BW165" i="13"/>
  <c r="BV165" i="13"/>
  <c r="BU165" i="13"/>
  <c r="BT165" i="13"/>
  <c r="CW164" i="13"/>
  <c r="CV164" i="13"/>
  <c r="CU164" i="13"/>
  <c r="CT164" i="13"/>
  <c r="CS164" i="13"/>
  <c r="CR164" i="13"/>
  <c r="CQ164" i="13"/>
  <c r="CP164" i="13"/>
  <c r="CO164" i="13"/>
  <c r="CN164" i="13"/>
  <c r="CM164" i="13"/>
  <c r="CL164" i="13"/>
  <c r="CK164" i="13"/>
  <c r="CF164" i="13"/>
  <c r="CE164" i="13"/>
  <c r="CD164" i="13"/>
  <c r="CC164" i="13"/>
  <c r="CB164" i="13"/>
  <c r="CH164" i="13" s="1"/>
  <c r="CA164" i="13"/>
  <c r="BZ164" i="13"/>
  <c r="BY164" i="13"/>
  <c r="BW164" i="13"/>
  <c r="BV164" i="13"/>
  <c r="BU164" i="13"/>
  <c r="BT164" i="13"/>
  <c r="CW163" i="13"/>
  <c r="CV163" i="13"/>
  <c r="CU163" i="13"/>
  <c r="CT163" i="13"/>
  <c r="CS163" i="13"/>
  <c r="CR163" i="13"/>
  <c r="CQ163" i="13"/>
  <c r="CP163" i="13"/>
  <c r="CO163" i="13"/>
  <c r="CN163" i="13"/>
  <c r="CM163" i="13"/>
  <c r="CL163" i="13"/>
  <c r="CK163" i="13"/>
  <c r="CJ163" i="13"/>
  <c r="CW162" i="13"/>
  <c r="CV162" i="13"/>
  <c r="CU162" i="13"/>
  <c r="CT162" i="13"/>
  <c r="CS162" i="13"/>
  <c r="CR162" i="13"/>
  <c r="CQ162" i="13"/>
  <c r="CP162" i="13"/>
  <c r="CO162" i="13"/>
  <c r="CN162" i="13"/>
  <c r="CA162" i="13" s="1"/>
  <c r="CM162" i="13"/>
  <c r="CL162" i="13"/>
  <c r="CK162" i="13"/>
  <c r="CJ162" i="13"/>
  <c r="CF162" i="13"/>
  <c r="CE162" i="13"/>
  <c r="CD162" i="13"/>
  <c r="CC162" i="13"/>
  <c r="CB162" i="13"/>
  <c r="CH162" i="13" s="1"/>
  <c r="BZ162" i="13"/>
  <c r="BY162" i="13"/>
  <c r="BW162" i="13"/>
  <c r="BV162" i="13"/>
  <c r="BU162" i="13"/>
  <c r="BT162" i="13"/>
  <c r="CW161" i="13"/>
  <c r="CV161" i="13"/>
  <c r="CU161" i="13"/>
  <c r="CT161" i="13"/>
  <c r="CS161" i="13"/>
  <c r="CR161" i="13"/>
  <c r="CQ161" i="13"/>
  <c r="CP161" i="13"/>
  <c r="CO161" i="13"/>
  <c r="CN161" i="13"/>
  <c r="CM161" i="13"/>
  <c r="CL161" i="13"/>
  <c r="CK161" i="13"/>
  <c r="CJ161" i="13"/>
  <c r="CH161" i="13"/>
  <c r="CG161" i="13"/>
  <c r="CF161" i="13"/>
  <c r="CE161" i="13"/>
  <c r="CD161" i="13"/>
  <c r="CC161" i="13"/>
  <c r="CB161" i="13"/>
  <c r="BZ161" i="13"/>
  <c r="BY161" i="13"/>
  <c r="BX161" i="13"/>
  <c r="BW161" i="13"/>
  <c r="BV161" i="13"/>
  <c r="BU161" i="13"/>
  <c r="BT161" i="13"/>
  <c r="CW160" i="13"/>
  <c r="CV160" i="13"/>
  <c r="CU160" i="13"/>
  <c r="CT160" i="13"/>
  <c r="CS160" i="13"/>
  <c r="CR160" i="13"/>
  <c r="CQ160" i="13"/>
  <c r="CP160" i="13"/>
  <c r="CO160" i="13"/>
  <c r="CN160" i="13"/>
  <c r="CM160" i="13"/>
  <c r="CL160" i="13"/>
  <c r="CK160" i="13"/>
  <c r="CJ160" i="13"/>
  <c r="CW159" i="13"/>
  <c r="CV159" i="13"/>
  <c r="CU159" i="13"/>
  <c r="CT159" i="13"/>
  <c r="CS159" i="13"/>
  <c r="CR159" i="13"/>
  <c r="CQ159" i="13"/>
  <c r="CP159" i="13"/>
  <c r="CO159" i="13"/>
  <c r="CN159" i="13"/>
  <c r="CM159" i="13"/>
  <c r="CL159" i="13"/>
  <c r="CK159" i="13"/>
  <c r="BX159" i="13" s="1"/>
  <c r="CJ159" i="13"/>
  <c r="CF159" i="13"/>
  <c r="CE159" i="13"/>
  <c r="CD159" i="13"/>
  <c r="CC159" i="13"/>
  <c r="CB159" i="13"/>
  <c r="CH159" i="13" s="1"/>
  <c r="CA159" i="13"/>
  <c r="BZ159" i="13"/>
  <c r="BY159" i="13"/>
  <c r="BW159" i="13"/>
  <c r="BV159" i="13"/>
  <c r="BU159" i="13"/>
  <c r="BT159" i="13"/>
  <c r="CW158" i="13"/>
  <c r="CV158" i="13"/>
  <c r="CU158" i="13"/>
  <c r="CT158" i="13"/>
  <c r="CS158" i="13"/>
  <c r="CR158" i="13"/>
  <c r="CQ158" i="13"/>
  <c r="CP158" i="13"/>
  <c r="CO158" i="13"/>
  <c r="CA158" i="13" s="1"/>
  <c r="CN158" i="13"/>
  <c r="CM158" i="13"/>
  <c r="CL158" i="13"/>
  <c r="CK158" i="13"/>
  <c r="CG158" i="13"/>
  <c r="CF158" i="13"/>
  <c r="CE158" i="13"/>
  <c r="CD158" i="13"/>
  <c r="CC158" i="13"/>
  <c r="CB158" i="13"/>
  <c r="CH158" i="13" s="1"/>
  <c r="BZ158" i="13"/>
  <c r="BY158" i="13"/>
  <c r="BW158" i="13"/>
  <c r="BV158" i="13"/>
  <c r="BU158" i="13"/>
  <c r="BT158" i="13"/>
  <c r="CW157" i="13"/>
  <c r="CV157" i="13"/>
  <c r="CU157" i="13"/>
  <c r="CT157" i="13"/>
  <c r="CS157" i="13"/>
  <c r="CR157" i="13"/>
  <c r="CQ157" i="13"/>
  <c r="CP157" i="13"/>
  <c r="CO157" i="13"/>
  <c r="CN157" i="13"/>
  <c r="CM157" i="13"/>
  <c r="CL157" i="13"/>
  <c r="CK157" i="13"/>
  <c r="CJ157" i="13"/>
  <c r="CH157" i="13"/>
  <c r="CG157" i="13"/>
  <c r="CF157" i="13"/>
  <c r="CE157" i="13"/>
  <c r="CD157" i="13"/>
  <c r="CC157" i="13"/>
  <c r="CB157" i="13"/>
  <c r="CA157" i="13"/>
  <c r="BZ157" i="13"/>
  <c r="BY157" i="13"/>
  <c r="BW157" i="13"/>
  <c r="BV157" i="13"/>
  <c r="BU157" i="13"/>
  <c r="BT157" i="13"/>
  <c r="CW156" i="13"/>
  <c r="CV156" i="13"/>
  <c r="CU156" i="13"/>
  <c r="CT156" i="13"/>
  <c r="CS156" i="13"/>
  <c r="CR156" i="13"/>
  <c r="CQ156" i="13"/>
  <c r="CP156" i="13"/>
  <c r="CO156" i="13"/>
  <c r="CN156" i="13"/>
  <c r="CM156" i="13"/>
  <c r="CL156" i="13"/>
  <c r="CK156" i="13"/>
  <c r="CF156" i="13"/>
  <c r="CE156" i="13"/>
  <c r="CD156" i="13"/>
  <c r="CC156" i="13"/>
  <c r="CB156" i="13"/>
  <c r="CH156" i="13" s="1"/>
  <c r="BZ156" i="13"/>
  <c r="BY156" i="13"/>
  <c r="BW156" i="13"/>
  <c r="BV156" i="13"/>
  <c r="BU156" i="13"/>
  <c r="BT156" i="13"/>
  <c r="CW155" i="13"/>
  <c r="CV155" i="13"/>
  <c r="CU155" i="13"/>
  <c r="CT155" i="13"/>
  <c r="CS155" i="13"/>
  <c r="CR155" i="13"/>
  <c r="CQ155" i="13"/>
  <c r="CP155" i="13"/>
  <c r="CO155" i="13"/>
  <c r="CA155" i="13" s="1"/>
  <c r="CN155" i="13"/>
  <c r="CM155" i="13"/>
  <c r="CL155" i="13"/>
  <c r="CK155" i="13"/>
  <c r="CJ155" i="13"/>
  <c r="CG155" i="13"/>
  <c r="CF155" i="13"/>
  <c r="CE155" i="13"/>
  <c r="CD155" i="13"/>
  <c r="CC155" i="13"/>
  <c r="CB155" i="13"/>
  <c r="CH155" i="13" s="1"/>
  <c r="BZ155" i="13"/>
  <c r="BY155" i="13"/>
  <c r="BX155" i="13"/>
  <c r="BW155" i="13"/>
  <c r="BV155" i="13"/>
  <c r="BU155" i="13"/>
  <c r="BT155" i="13"/>
  <c r="CW154" i="13"/>
  <c r="CV154" i="13"/>
  <c r="CU154" i="13"/>
  <c r="CT154" i="13"/>
  <c r="CS154" i="13"/>
  <c r="CR154" i="13"/>
  <c r="CQ154" i="13"/>
  <c r="CP154" i="13"/>
  <c r="CO154" i="13"/>
  <c r="CN154" i="13"/>
  <c r="CM154" i="13"/>
  <c r="CL154" i="13"/>
  <c r="CK154" i="13"/>
  <c r="CG154" i="13"/>
  <c r="CF154" i="13"/>
  <c r="CE154" i="13"/>
  <c r="CD154" i="13"/>
  <c r="CC154" i="13"/>
  <c r="CB154" i="13"/>
  <c r="CH154" i="13" s="1"/>
  <c r="CA154" i="13"/>
  <c r="BZ154" i="13"/>
  <c r="BY154" i="13"/>
  <c r="BW154" i="13"/>
  <c r="BV154" i="13"/>
  <c r="BU154" i="13"/>
  <c r="BT154" i="13"/>
  <c r="CW153" i="13"/>
  <c r="CV153" i="13"/>
  <c r="CU153" i="13"/>
  <c r="CT153" i="13"/>
  <c r="CS153" i="13"/>
  <c r="CR153" i="13"/>
  <c r="CQ153" i="13"/>
  <c r="CP153" i="13"/>
  <c r="CO153" i="13"/>
  <c r="CN153" i="13"/>
  <c r="CA153" i="13" s="1"/>
  <c r="CM153" i="13"/>
  <c r="CL153" i="13"/>
  <c r="CK153" i="13"/>
  <c r="BX153" i="13" s="1"/>
  <c r="CJ153" i="13"/>
  <c r="CH153" i="13"/>
  <c r="CG153" i="13"/>
  <c r="CF153" i="13"/>
  <c r="CE153" i="13"/>
  <c r="CD153" i="13"/>
  <c r="CC153" i="13"/>
  <c r="CB153" i="13"/>
  <c r="BZ153" i="13"/>
  <c r="BY153" i="13"/>
  <c r="BW153" i="13"/>
  <c r="BV153" i="13"/>
  <c r="BU153" i="13"/>
  <c r="BT153" i="13"/>
  <c r="CW152" i="13"/>
  <c r="CV152" i="13"/>
  <c r="CU152" i="13"/>
  <c r="CT152" i="13"/>
  <c r="CS152" i="13"/>
  <c r="CR152" i="13"/>
  <c r="CQ152" i="13"/>
  <c r="CP152" i="13"/>
  <c r="CO152" i="13"/>
  <c r="CN152" i="13"/>
  <c r="CM152" i="13"/>
  <c r="CL152" i="13"/>
  <c r="CK152" i="13"/>
  <c r="CH152" i="13"/>
  <c r="CF152" i="13"/>
  <c r="CE152" i="13"/>
  <c r="CD152" i="13"/>
  <c r="CC152" i="13"/>
  <c r="CB152" i="13"/>
  <c r="CG152" i="13" s="1"/>
  <c r="BZ152" i="13"/>
  <c r="BY152" i="13"/>
  <c r="BW152" i="13"/>
  <c r="BV152" i="13"/>
  <c r="BU152" i="13"/>
  <c r="BT152" i="13"/>
  <c r="CW151" i="13"/>
  <c r="CV151" i="13"/>
  <c r="CU151" i="13"/>
  <c r="CT151" i="13"/>
  <c r="CS151" i="13"/>
  <c r="CR151" i="13"/>
  <c r="CQ151" i="13"/>
  <c r="CP151" i="13"/>
  <c r="CO151" i="13"/>
  <c r="CA151" i="13" s="1"/>
  <c r="CN151" i="13"/>
  <c r="CM151" i="13"/>
  <c r="CL151" i="13"/>
  <c r="CK151" i="13"/>
  <c r="CF151" i="13"/>
  <c r="CE151" i="13"/>
  <c r="CD151" i="13"/>
  <c r="CC151" i="13"/>
  <c r="CB151" i="13"/>
  <c r="CG151" i="13" s="1"/>
  <c r="BZ151" i="13"/>
  <c r="BY151" i="13"/>
  <c r="BW151" i="13"/>
  <c r="BV151" i="13"/>
  <c r="BU151" i="13"/>
  <c r="BT151" i="13"/>
  <c r="CW150" i="13"/>
  <c r="CV150" i="13"/>
  <c r="CU150" i="13"/>
  <c r="CT150" i="13"/>
  <c r="CS150" i="13"/>
  <c r="CR150" i="13"/>
  <c r="CQ150" i="13"/>
  <c r="CP150" i="13"/>
  <c r="CO150" i="13"/>
  <c r="CA150" i="13" s="1"/>
  <c r="CN150" i="13"/>
  <c r="CM150" i="13"/>
  <c r="CL150" i="13"/>
  <c r="CK150" i="13"/>
  <c r="BX150" i="13" s="1"/>
  <c r="CJ150" i="13"/>
  <c r="CF150" i="13"/>
  <c r="CE150" i="13"/>
  <c r="CD150" i="13"/>
  <c r="CC150" i="13"/>
  <c r="CB150" i="13"/>
  <c r="BZ150" i="13"/>
  <c r="BY150" i="13"/>
  <c r="BW150" i="13"/>
  <c r="BV150" i="13"/>
  <c r="BU150" i="13"/>
  <c r="BT150" i="13"/>
  <c r="CW149" i="13"/>
  <c r="CV149" i="13"/>
  <c r="CU149" i="13"/>
  <c r="CT149" i="13"/>
  <c r="CS149" i="13"/>
  <c r="CR149" i="13"/>
  <c r="CQ149" i="13"/>
  <c r="CP149" i="13"/>
  <c r="CA149" i="13" s="1"/>
  <c r="CO149" i="13"/>
  <c r="CN149" i="13"/>
  <c r="CM149" i="13"/>
  <c r="CL149" i="13"/>
  <c r="CK149" i="13"/>
  <c r="CJ149" i="13"/>
  <c r="CH149" i="13"/>
  <c r="CF149" i="13"/>
  <c r="CE149" i="13"/>
  <c r="CD149" i="13"/>
  <c r="CC149" i="13"/>
  <c r="CB149" i="13"/>
  <c r="CG149" i="13" s="1"/>
  <c r="BZ149" i="13"/>
  <c r="BY149" i="13"/>
  <c r="BW149" i="13"/>
  <c r="BV149" i="13"/>
  <c r="BU149" i="13"/>
  <c r="BT149" i="13"/>
  <c r="CW148" i="13"/>
  <c r="CV148" i="13"/>
  <c r="CU148" i="13"/>
  <c r="CT148" i="13"/>
  <c r="CS148" i="13"/>
  <c r="CR148" i="13"/>
  <c r="CQ148" i="13"/>
  <c r="CP148" i="13"/>
  <c r="CO148" i="13"/>
  <c r="CN148" i="13"/>
  <c r="CM148" i="13"/>
  <c r="CL148" i="13"/>
  <c r="CK148" i="13"/>
  <c r="CF148" i="13"/>
  <c r="CE148" i="13"/>
  <c r="CD148" i="13"/>
  <c r="CC148" i="13"/>
  <c r="CB148" i="13"/>
  <c r="CH148" i="13" s="1"/>
  <c r="BZ148" i="13"/>
  <c r="BY148" i="13"/>
  <c r="BW148" i="13"/>
  <c r="BV148" i="13"/>
  <c r="BU148" i="13"/>
  <c r="BT148" i="13"/>
  <c r="CW147" i="13"/>
  <c r="CV147" i="13"/>
  <c r="CU147" i="13"/>
  <c r="CT147" i="13"/>
  <c r="CS147" i="13"/>
  <c r="CR147" i="13"/>
  <c r="CQ147" i="13"/>
  <c r="CP147" i="13"/>
  <c r="CO147" i="13"/>
  <c r="CA147" i="13" s="1"/>
  <c r="CN147" i="13"/>
  <c r="CM147" i="13"/>
  <c r="CL147" i="13"/>
  <c r="CK147" i="13"/>
  <c r="CJ147" i="13"/>
  <c r="CH147" i="13"/>
  <c r="CG147" i="13"/>
  <c r="CF147" i="13"/>
  <c r="CE147" i="13"/>
  <c r="CD147" i="13"/>
  <c r="CC147" i="13"/>
  <c r="CB147" i="13"/>
  <c r="BZ147" i="13"/>
  <c r="BY147" i="13"/>
  <c r="BX147" i="13"/>
  <c r="BW147" i="13"/>
  <c r="BV147" i="13"/>
  <c r="BU147" i="13"/>
  <c r="BT147" i="13"/>
  <c r="CW146" i="13"/>
  <c r="CV146" i="13"/>
  <c r="CU146" i="13"/>
  <c r="CT146" i="13"/>
  <c r="CS146" i="13"/>
  <c r="CR146" i="13"/>
  <c r="CQ146" i="13"/>
  <c r="CP146" i="13"/>
  <c r="CO146" i="13"/>
  <c r="CN146" i="13"/>
  <c r="CM146" i="13"/>
  <c r="CL146" i="13"/>
  <c r="BX146" i="13" s="1"/>
  <c r="CK146" i="13"/>
  <c r="CJ146" i="13"/>
  <c r="CF146" i="13"/>
  <c r="CE146" i="13"/>
  <c r="CD146" i="13"/>
  <c r="CC146" i="13"/>
  <c r="CB146" i="13"/>
  <c r="CH146" i="13" s="1"/>
  <c r="CA146" i="13"/>
  <c r="BZ146" i="13"/>
  <c r="BY146" i="13"/>
  <c r="BW146" i="13"/>
  <c r="BV146" i="13"/>
  <c r="BU146" i="13"/>
  <c r="BT146" i="13"/>
  <c r="CW145" i="13"/>
  <c r="CV145" i="13"/>
  <c r="CU145" i="13"/>
  <c r="CT145" i="13"/>
  <c r="CS145" i="13"/>
  <c r="CR145" i="13"/>
  <c r="CQ145" i="13"/>
  <c r="CP145" i="13"/>
  <c r="CA145" i="13" s="1"/>
  <c r="CO145" i="13"/>
  <c r="CN145" i="13"/>
  <c r="CM145" i="13"/>
  <c r="CL145" i="13"/>
  <c r="CK145" i="13"/>
  <c r="CH145" i="13"/>
  <c r="CG145" i="13"/>
  <c r="CF145" i="13"/>
  <c r="CE145" i="13"/>
  <c r="CD145" i="13"/>
  <c r="CC145" i="13"/>
  <c r="CB145" i="13"/>
  <c r="BZ145" i="13"/>
  <c r="BY145" i="13"/>
  <c r="BW145" i="13"/>
  <c r="BV145" i="13"/>
  <c r="BU145" i="13"/>
  <c r="BT145" i="13"/>
  <c r="CW144" i="13"/>
  <c r="CV144" i="13"/>
  <c r="CU144" i="13"/>
  <c r="CT144" i="13"/>
  <c r="CS144" i="13"/>
  <c r="CR144" i="13"/>
  <c r="CQ144" i="13"/>
  <c r="CP144" i="13"/>
  <c r="CO144" i="13"/>
  <c r="CA144" i="13" s="1"/>
  <c r="CN144" i="13"/>
  <c r="CM144" i="13"/>
  <c r="CL144" i="13"/>
  <c r="CK144" i="13"/>
  <c r="BX144" i="13" s="1"/>
  <c r="CJ144" i="13"/>
  <c r="CG144" i="13"/>
  <c r="CF144" i="13"/>
  <c r="CE144" i="13"/>
  <c r="CD144" i="13"/>
  <c r="CC144" i="13"/>
  <c r="CH144" i="13" s="1"/>
  <c r="CB144" i="13"/>
  <c r="BZ144" i="13"/>
  <c r="BY144" i="13"/>
  <c r="BW144" i="13"/>
  <c r="BV144" i="13"/>
  <c r="BU144" i="13"/>
  <c r="BT144" i="13"/>
  <c r="CW143" i="13"/>
  <c r="CV143" i="13"/>
  <c r="CU143" i="13"/>
  <c r="CT143" i="13"/>
  <c r="CS143" i="13"/>
  <c r="CR143" i="13"/>
  <c r="CQ143" i="13"/>
  <c r="CP143" i="13"/>
  <c r="CO143" i="13"/>
  <c r="CN143" i="13"/>
  <c r="CA143" i="13" s="1"/>
  <c r="CM143" i="13"/>
  <c r="CL143" i="13"/>
  <c r="CK143" i="13"/>
  <c r="CH143" i="13"/>
  <c r="CF143" i="13"/>
  <c r="CE143" i="13"/>
  <c r="CD143" i="13"/>
  <c r="CC143" i="13"/>
  <c r="CB143" i="13"/>
  <c r="CG143" i="13" s="1"/>
  <c r="BZ143" i="13"/>
  <c r="BY143" i="13"/>
  <c r="BW143" i="13"/>
  <c r="BV143" i="13"/>
  <c r="BU143" i="13"/>
  <c r="BT143" i="13"/>
  <c r="CW142" i="13"/>
  <c r="CV142" i="13"/>
  <c r="CU142" i="13"/>
  <c r="CT142" i="13"/>
  <c r="CS142" i="13"/>
  <c r="CR142" i="13"/>
  <c r="CQ142" i="13"/>
  <c r="CP142" i="13"/>
  <c r="CO142" i="13"/>
  <c r="CN142" i="13"/>
  <c r="CM142" i="13"/>
  <c r="CL142" i="13"/>
  <c r="CK142" i="13"/>
  <c r="CG142" i="13"/>
  <c r="CF142" i="13"/>
  <c r="CE142" i="13"/>
  <c r="CD142" i="13"/>
  <c r="CC142" i="13"/>
  <c r="CB142" i="13"/>
  <c r="CH142" i="13" s="1"/>
  <c r="CA142" i="13"/>
  <c r="BZ142" i="13"/>
  <c r="BY142" i="13"/>
  <c r="BW142" i="13"/>
  <c r="BV142" i="13"/>
  <c r="BU142" i="13"/>
  <c r="BT142" i="13"/>
  <c r="CW141" i="13"/>
  <c r="CV141" i="13"/>
  <c r="CU141" i="13"/>
  <c r="CT141" i="13"/>
  <c r="CS141" i="13"/>
  <c r="CR141" i="13"/>
  <c r="CQ141" i="13"/>
  <c r="CP141" i="13"/>
  <c r="CO141" i="13"/>
  <c r="CN141" i="13"/>
  <c r="CA141" i="13" s="1"/>
  <c r="CM141" i="13"/>
  <c r="CL141" i="13"/>
  <c r="CK141" i="13"/>
  <c r="CJ141" i="13"/>
  <c r="CF141" i="13"/>
  <c r="CE141" i="13"/>
  <c r="CD141" i="13"/>
  <c r="CC141" i="13"/>
  <c r="CB141" i="13"/>
  <c r="CH141" i="13" s="1"/>
  <c r="BZ141" i="13"/>
  <c r="BY141" i="13"/>
  <c r="BW141" i="13"/>
  <c r="BV141" i="13"/>
  <c r="BU141" i="13"/>
  <c r="BT141" i="13"/>
  <c r="CW140" i="13"/>
  <c r="CV140" i="13"/>
  <c r="CU140" i="13"/>
  <c r="CT140" i="13"/>
  <c r="CS140" i="13"/>
  <c r="CR140" i="13"/>
  <c r="CQ140" i="13"/>
  <c r="CP140" i="13"/>
  <c r="CO140" i="13"/>
  <c r="CN140" i="13"/>
  <c r="CM140" i="13"/>
  <c r="CL140" i="13"/>
  <c r="CK140" i="13"/>
  <c r="CJ140" i="13"/>
  <c r="CH140" i="13"/>
  <c r="CG140" i="13"/>
  <c r="CF140" i="13"/>
  <c r="CE140" i="13"/>
  <c r="CD140" i="13"/>
  <c r="CC140" i="13"/>
  <c r="CB140" i="13"/>
  <c r="BZ140" i="13"/>
  <c r="BY140" i="13"/>
  <c r="BX140" i="13"/>
  <c r="BW140" i="13"/>
  <c r="BV140" i="13"/>
  <c r="BU140" i="13"/>
  <c r="BT140" i="13"/>
  <c r="CW139" i="13"/>
  <c r="CV139" i="13"/>
  <c r="CU139" i="13"/>
  <c r="CT139" i="13"/>
  <c r="CS139" i="13"/>
  <c r="CR139" i="13"/>
  <c r="CQ139" i="13"/>
  <c r="CP139" i="13"/>
  <c r="CO139" i="13"/>
  <c r="CN139" i="13"/>
  <c r="CM139" i="13"/>
  <c r="CL139" i="13"/>
  <c r="CK139" i="13"/>
  <c r="CJ139" i="13"/>
  <c r="CF139" i="13"/>
  <c r="CE139" i="13"/>
  <c r="CE171" i="13" s="1"/>
  <c r="CD139" i="13"/>
  <c r="CC139" i="13"/>
  <c r="CB139" i="13"/>
  <c r="CH139" i="13" s="1"/>
  <c r="CA139" i="13"/>
  <c r="BZ139" i="13"/>
  <c r="BY139" i="13"/>
  <c r="BW139" i="13"/>
  <c r="BV139" i="13"/>
  <c r="BU139" i="13"/>
  <c r="BT139" i="13"/>
  <c r="CW138" i="13"/>
  <c r="CV138" i="13"/>
  <c r="CU138" i="13"/>
  <c r="CT138" i="13"/>
  <c r="CS138" i="13"/>
  <c r="CR138" i="13"/>
  <c r="CQ138" i="13"/>
  <c r="CP138" i="13"/>
  <c r="CO138" i="13"/>
  <c r="CA138" i="13" s="1"/>
  <c r="CN138" i="13"/>
  <c r="CM138" i="13"/>
  <c r="CL138" i="13"/>
  <c r="CK138" i="13"/>
  <c r="CJ138" i="13"/>
  <c r="CG138" i="13"/>
  <c r="CF138" i="13"/>
  <c r="CE138" i="13"/>
  <c r="CD138" i="13"/>
  <c r="CC138" i="13"/>
  <c r="CB138" i="13"/>
  <c r="CH138" i="13" s="1"/>
  <c r="BZ138" i="13"/>
  <c r="BY138" i="13"/>
  <c r="BX138" i="13"/>
  <c r="BW138" i="13"/>
  <c r="BV138" i="13"/>
  <c r="BU138" i="13"/>
  <c r="BT138" i="13"/>
  <c r="CW137" i="13"/>
  <c r="CV137" i="13"/>
  <c r="CU137" i="13"/>
  <c r="CT137" i="13"/>
  <c r="CS137" i="13"/>
  <c r="CR137" i="13"/>
  <c r="CQ137" i="13"/>
  <c r="CP137" i="13"/>
  <c r="CO137" i="13"/>
  <c r="CN137" i="13"/>
  <c r="CM137" i="13"/>
  <c r="CL137" i="13"/>
  <c r="CK137" i="13"/>
  <c r="CJ137" i="13"/>
  <c r="CW130" i="13"/>
  <c r="CV130" i="13"/>
  <c r="CU130" i="13"/>
  <c r="CT130" i="13"/>
  <c r="CS130" i="13"/>
  <c r="CR130" i="13"/>
  <c r="CQ130" i="13"/>
  <c r="CP130" i="13"/>
  <c r="CO130" i="13"/>
  <c r="CN130" i="13"/>
  <c r="CA130" i="13" s="1"/>
  <c r="CM130" i="13"/>
  <c r="CL130" i="13"/>
  <c r="CK130" i="13"/>
  <c r="CJ130" i="13"/>
  <c r="CF130" i="13"/>
  <c r="CE130" i="13"/>
  <c r="CD130" i="13"/>
  <c r="CC130" i="13"/>
  <c r="CB130" i="13"/>
  <c r="BZ130" i="13"/>
  <c r="BY130" i="13"/>
  <c r="BW130" i="13"/>
  <c r="BV130" i="13"/>
  <c r="BU130" i="13"/>
  <c r="BT130" i="13"/>
  <c r="CW129" i="13"/>
  <c r="CV129" i="13"/>
  <c r="CU129" i="13"/>
  <c r="CT129" i="13"/>
  <c r="CS129" i="13"/>
  <c r="CR129" i="13"/>
  <c r="CQ129" i="13"/>
  <c r="CP129" i="13"/>
  <c r="CO129" i="13"/>
  <c r="CA129" i="13" s="1"/>
  <c r="CN129" i="13"/>
  <c r="CM129" i="13"/>
  <c r="CL129" i="13"/>
  <c r="CK129" i="13"/>
  <c r="BX129" i="13" s="1"/>
  <c r="CJ129" i="13"/>
  <c r="CH129" i="13"/>
  <c r="CG129" i="13"/>
  <c r="CF129" i="13"/>
  <c r="CE129" i="13"/>
  <c r="CD129" i="13"/>
  <c r="CC129" i="13"/>
  <c r="CB129" i="13"/>
  <c r="BZ129" i="13"/>
  <c r="BY129" i="13"/>
  <c r="BW129" i="13"/>
  <c r="BV129" i="13"/>
  <c r="BU129" i="13"/>
  <c r="BT129" i="13"/>
  <c r="CW128" i="13"/>
  <c r="CV128" i="13"/>
  <c r="CU128" i="13"/>
  <c r="CT128" i="13"/>
  <c r="CS128" i="13"/>
  <c r="CR128" i="13"/>
  <c r="CQ128" i="13"/>
  <c r="CP128" i="13"/>
  <c r="CO128" i="13"/>
  <c r="CN128" i="13"/>
  <c r="CA128" i="13" s="1"/>
  <c r="CM128" i="13"/>
  <c r="CL128" i="13"/>
  <c r="CK128" i="13"/>
  <c r="BX128" i="13" s="1"/>
  <c r="CJ128" i="13"/>
  <c r="CG128" i="13"/>
  <c r="CF128" i="13"/>
  <c r="CE128" i="13"/>
  <c r="CD128" i="13"/>
  <c r="CC128" i="13"/>
  <c r="CB128" i="13"/>
  <c r="BZ128" i="13"/>
  <c r="BY128" i="13"/>
  <c r="BW128" i="13"/>
  <c r="BV128" i="13"/>
  <c r="BU128" i="13"/>
  <c r="BT128" i="13"/>
  <c r="CW127" i="13"/>
  <c r="CV127" i="13"/>
  <c r="CU127" i="13"/>
  <c r="CT127" i="13"/>
  <c r="CS127" i="13"/>
  <c r="CR127" i="13"/>
  <c r="CQ127" i="13"/>
  <c r="CP127" i="13"/>
  <c r="CO127" i="13"/>
  <c r="CN127" i="13"/>
  <c r="CM127" i="13"/>
  <c r="CL127" i="13"/>
  <c r="CK127" i="13"/>
  <c r="CJ127" i="13"/>
  <c r="BX127" i="13" s="1"/>
  <c r="CH127" i="13"/>
  <c r="CF127" i="13"/>
  <c r="CE127" i="13"/>
  <c r="CD127" i="13"/>
  <c r="CC127" i="13"/>
  <c r="CB127" i="13"/>
  <c r="CG127" i="13" s="1"/>
  <c r="CA127" i="13"/>
  <c r="BZ127" i="13"/>
  <c r="BY127" i="13"/>
  <c r="BW127" i="13"/>
  <c r="BV127" i="13"/>
  <c r="BU127" i="13"/>
  <c r="BT127" i="13"/>
  <c r="CW126" i="13"/>
  <c r="CV126" i="13"/>
  <c r="CU126" i="13"/>
  <c r="CT126" i="13"/>
  <c r="CS126" i="13"/>
  <c r="CR126" i="13"/>
  <c r="CQ126" i="13"/>
  <c r="CP126" i="13"/>
  <c r="CO126" i="13"/>
  <c r="CA126" i="13" s="1"/>
  <c r="CN126" i="13"/>
  <c r="CM126" i="13"/>
  <c r="CL126" i="13"/>
  <c r="CK126" i="13"/>
  <c r="CJ126" i="13"/>
  <c r="CH126" i="13"/>
  <c r="CG126" i="13"/>
  <c r="CF126" i="13"/>
  <c r="CE126" i="13"/>
  <c r="CD126" i="13"/>
  <c r="CC126" i="13"/>
  <c r="CB126" i="13"/>
  <c r="BZ126" i="13"/>
  <c r="BY126" i="13"/>
  <c r="BX126" i="13"/>
  <c r="BW126" i="13"/>
  <c r="BV126" i="13"/>
  <c r="BU126" i="13"/>
  <c r="BT126" i="13"/>
  <c r="CW125" i="13"/>
  <c r="CV125" i="13"/>
  <c r="CU125" i="13"/>
  <c r="CT125" i="13"/>
  <c r="CS125" i="13"/>
  <c r="CR125" i="13"/>
  <c r="CQ125" i="13"/>
  <c r="CP125" i="13"/>
  <c r="CO125" i="13"/>
  <c r="CA125" i="13" s="1"/>
  <c r="CN125" i="13"/>
  <c r="CM125" i="13"/>
  <c r="CL125" i="13"/>
  <c r="CK125" i="13"/>
  <c r="BX125" i="13" s="1"/>
  <c r="CJ125" i="13"/>
  <c r="CF125" i="13"/>
  <c r="CE125" i="13"/>
  <c r="CD125" i="13"/>
  <c r="CC125" i="13"/>
  <c r="CB125" i="13"/>
  <c r="CG125" i="13" s="1"/>
  <c r="BZ125" i="13"/>
  <c r="BY125" i="13"/>
  <c r="BW125" i="13"/>
  <c r="BV125" i="13"/>
  <c r="BU125" i="13"/>
  <c r="BT125" i="13"/>
  <c r="CW124" i="13"/>
  <c r="CV124" i="13"/>
  <c r="CU124" i="13"/>
  <c r="CT124" i="13"/>
  <c r="CS124" i="13"/>
  <c r="CR124" i="13"/>
  <c r="CQ124" i="13"/>
  <c r="CP124" i="13"/>
  <c r="CO124" i="13"/>
  <c r="CA124" i="13" s="1"/>
  <c r="CN124" i="13"/>
  <c r="CM124" i="13"/>
  <c r="CL124" i="13"/>
  <c r="CK124" i="13"/>
  <c r="BX124" i="13" s="1"/>
  <c r="CJ124" i="13"/>
  <c r="CH124" i="13"/>
  <c r="CG124" i="13"/>
  <c r="CF124" i="13"/>
  <c r="CE124" i="13"/>
  <c r="CD124" i="13"/>
  <c r="CC124" i="13"/>
  <c r="CB124" i="13"/>
  <c r="BZ124" i="13"/>
  <c r="BY124" i="13"/>
  <c r="BW124" i="13"/>
  <c r="BV124" i="13"/>
  <c r="BU124" i="13"/>
  <c r="BT124" i="13"/>
  <c r="CW123" i="13"/>
  <c r="CV123" i="13"/>
  <c r="CU123" i="13"/>
  <c r="CT123" i="13"/>
  <c r="CS123" i="13"/>
  <c r="CR123" i="13"/>
  <c r="CQ123" i="13"/>
  <c r="CP123" i="13"/>
  <c r="CO123" i="13"/>
  <c r="CA123" i="13" s="1"/>
  <c r="CN123" i="13"/>
  <c r="CM123" i="13"/>
  <c r="CL123" i="13"/>
  <c r="BX123" i="13" s="1"/>
  <c r="CK123" i="13"/>
  <c r="CJ123" i="13"/>
  <c r="CG123" i="13"/>
  <c r="CF123" i="13"/>
  <c r="CE123" i="13"/>
  <c r="CD123" i="13"/>
  <c r="CC123" i="13"/>
  <c r="CB123" i="13"/>
  <c r="CH123" i="13" s="1"/>
  <c r="BZ123" i="13"/>
  <c r="BY123" i="13"/>
  <c r="BW123" i="13"/>
  <c r="BV123" i="13"/>
  <c r="BU123" i="13"/>
  <c r="BT123" i="13"/>
  <c r="CW122" i="13"/>
  <c r="CV122" i="13"/>
  <c r="CU122" i="13"/>
  <c r="CT122" i="13"/>
  <c r="CS122" i="13"/>
  <c r="CR122" i="13"/>
  <c r="CQ122" i="13"/>
  <c r="CP122" i="13"/>
  <c r="CO122" i="13"/>
  <c r="CN122" i="13"/>
  <c r="CM122" i="13"/>
  <c r="CL122" i="13"/>
  <c r="CK122" i="13"/>
  <c r="BX122" i="13" s="1"/>
  <c r="CJ122" i="13"/>
  <c r="CF122" i="13"/>
  <c r="CE122" i="13"/>
  <c r="CD122" i="13"/>
  <c r="CC122" i="13"/>
  <c r="CB122" i="13"/>
  <c r="CG122" i="13" s="1"/>
  <c r="CA122" i="13"/>
  <c r="BZ122" i="13"/>
  <c r="BY122" i="13"/>
  <c r="BW122" i="13"/>
  <c r="BV122" i="13"/>
  <c r="BU122" i="13"/>
  <c r="BT122" i="13"/>
  <c r="CW121" i="13"/>
  <c r="CV121" i="13"/>
  <c r="CU121" i="13"/>
  <c r="CT121" i="13"/>
  <c r="CS121" i="13"/>
  <c r="CR121" i="13"/>
  <c r="CQ121" i="13"/>
  <c r="CP121" i="13"/>
  <c r="CO121" i="13"/>
  <c r="CN121" i="13"/>
  <c r="CM121" i="13"/>
  <c r="CL121" i="13"/>
  <c r="CK121" i="13"/>
  <c r="CJ121" i="13"/>
  <c r="CW120" i="13"/>
  <c r="CV120" i="13"/>
  <c r="CU120" i="13"/>
  <c r="CT120" i="13"/>
  <c r="CS120" i="13"/>
  <c r="CR120" i="13"/>
  <c r="CQ120" i="13"/>
  <c r="CP120" i="13"/>
  <c r="CO120" i="13"/>
  <c r="CN120" i="13"/>
  <c r="CM120" i="13"/>
  <c r="CL120" i="13"/>
  <c r="CK120" i="13"/>
  <c r="BX120" i="13" s="1"/>
  <c r="CJ120" i="13"/>
  <c r="CG120" i="13"/>
  <c r="CF120" i="13"/>
  <c r="CE120" i="13"/>
  <c r="CD120" i="13"/>
  <c r="CC120" i="13"/>
  <c r="CH120" i="13" s="1"/>
  <c r="CB120" i="13"/>
  <c r="BZ120" i="13"/>
  <c r="BY120" i="13"/>
  <c r="BW120" i="13"/>
  <c r="BV120" i="13"/>
  <c r="BU120" i="13"/>
  <c r="BT120" i="13"/>
  <c r="CW119" i="13"/>
  <c r="CV119" i="13"/>
  <c r="CU119" i="13"/>
  <c r="CT119" i="13"/>
  <c r="CS119" i="13"/>
  <c r="CR119" i="13"/>
  <c r="CQ119" i="13"/>
  <c r="CP119" i="13"/>
  <c r="CO119" i="13"/>
  <c r="CN119" i="13"/>
  <c r="CA119" i="13" s="1"/>
  <c r="CM119" i="13"/>
  <c r="CL119" i="13"/>
  <c r="CK119" i="13"/>
  <c r="CH119" i="13"/>
  <c r="CF119" i="13"/>
  <c r="CE119" i="13"/>
  <c r="CD119" i="13"/>
  <c r="CC119" i="13"/>
  <c r="CB119" i="13"/>
  <c r="CG119" i="13" s="1"/>
  <c r="BZ119" i="13"/>
  <c r="BY119" i="13"/>
  <c r="BW119" i="13"/>
  <c r="BV119" i="13"/>
  <c r="BU119" i="13"/>
  <c r="BT119" i="13"/>
  <c r="CW118" i="13"/>
  <c r="CV118" i="13"/>
  <c r="CU118" i="13"/>
  <c r="CT118" i="13"/>
  <c r="CS118" i="13"/>
  <c r="CR118" i="13"/>
  <c r="CQ118" i="13"/>
  <c r="CP118" i="13"/>
  <c r="CO118" i="13"/>
  <c r="CN118" i="13"/>
  <c r="CM118" i="13"/>
  <c r="CL118" i="13"/>
  <c r="CK118" i="13"/>
  <c r="CG118" i="13"/>
  <c r="CF118" i="13"/>
  <c r="CE118" i="13"/>
  <c r="CD118" i="13"/>
  <c r="CC118" i="13"/>
  <c r="CB118" i="13"/>
  <c r="CH118" i="13" s="1"/>
  <c r="CA118" i="13"/>
  <c r="BZ118" i="13"/>
  <c r="BY118" i="13"/>
  <c r="BW118" i="13"/>
  <c r="BV118" i="13"/>
  <c r="BU118" i="13"/>
  <c r="BT118" i="13"/>
  <c r="CW117" i="13"/>
  <c r="CV117" i="13"/>
  <c r="CU117" i="13"/>
  <c r="CT117" i="13"/>
  <c r="CS117" i="13"/>
  <c r="CR117" i="13"/>
  <c r="CQ117" i="13"/>
  <c r="CP117" i="13"/>
  <c r="CO117" i="13"/>
  <c r="CN117" i="13"/>
  <c r="CM117" i="13"/>
  <c r="CL117" i="13"/>
  <c r="CK117" i="13"/>
  <c r="CJ117" i="13"/>
  <c r="CW116" i="13"/>
  <c r="CV116" i="13"/>
  <c r="CU116" i="13"/>
  <c r="CT116" i="13"/>
  <c r="CS116" i="13"/>
  <c r="CR116" i="13"/>
  <c r="CQ116" i="13"/>
  <c r="CP116" i="13"/>
  <c r="CO116" i="13"/>
  <c r="CA116" i="13" s="1"/>
  <c r="CN116" i="13"/>
  <c r="CM116" i="13"/>
  <c r="CL116" i="13"/>
  <c r="CK116" i="13"/>
  <c r="CH116" i="13"/>
  <c r="CG116" i="13"/>
  <c r="CF116" i="13"/>
  <c r="CE116" i="13"/>
  <c r="CD116" i="13"/>
  <c r="CC116" i="13"/>
  <c r="CB116" i="13"/>
  <c r="BZ116" i="13"/>
  <c r="BY116" i="13"/>
  <c r="BW116" i="13"/>
  <c r="BV116" i="13"/>
  <c r="BU116" i="13"/>
  <c r="BT116" i="13"/>
  <c r="CW115" i="13"/>
  <c r="CV115" i="13"/>
  <c r="CU115" i="13"/>
  <c r="CT115" i="13"/>
  <c r="CS115" i="13"/>
  <c r="CR115" i="13"/>
  <c r="CQ115" i="13"/>
  <c r="CP115" i="13"/>
  <c r="CO115" i="13"/>
  <c r="CN115" i="13"/>
  <c r="CM115" i="13"/>
  <c r="CL115" i="13"/>
  <c r="CK115" i="13"/>
  <c r="CJ115" i="13"/>
  <c r="CF115" i="13"/>
  <c r="CE115" i="13"/>
  <c r="CD115" i="13"/>
  <c r="CC115" i="13"/>
  <c r="CB115" i="13"/>
  <c r="CG115" i="13" s="1"/>
  <c r="CA115" i="13"/>
  <c r="BZ115" i="13"/>
  <c r="BY115" i="13"/>
  <c r="BW115" i="13"/>
  <c r="BV115" i="13"/>
  <c r="BU115" i="13"/>
  <c r="BT115" i="13"/>
  <c r="CW114" i="13"/>
  <c r="CV114" i="13"/>
  <c r="CU114" i="13"/>
  <c r="CT114" i="13"/>
  <c r="CS114" i="13"/>
  <c r="CR114" i="13"/>
  <c r="CQ114" i="13"/>
  <c r="CP114" i="13"/>
  <c r="CO114" i="13"/>
  <c r="CA114" i="13" s="1"/>
  <c r="CN114" i="13"/>
  <c r="CM114" i="13"/>
  <c r="CL114" i="13"/>
  <c r="CK114" i="13"/>
  <c r="CF114" i="13"/>
  <c r="CE114" i="13"/>
  <c r="CD114" i="13"/>
  <c r="CC114" i="13"/>
  <c r="CB114" i="13"/>
  <c r="CH114" i="13" s="1"/>
  <c r="BZ114" i="13"/>
  <c r="BY114" i="13"/>
  <c r="BW114" i="13"/>
  <c r="BV114" i="13"/>
  <c r="BU114" i="13"/>
  <c r="BT114" i="13"/>
  <c r="CW113" i="13"/>
  <c r="CV113" i="13"/>
  <c r="CU113" i="13"/>
  <c r="CT113" i="13"/>
  <c r="CS113" i="13"/>
  <c r="CR113" i="13"/>
  <c r="CQ113" i="13"/>
  <c r="CP113" i="13"/>
  <c r="CO113" i="13"/>
  <c r="CN113" i="13"/>
  <c r="CM113" i="13"/>
  <c r="CL113" i="13"/>
  <c r="CK113" i="13"/>
  <c r="BX113" i="13" s="1"/>
  <c r="CJ113" i="13"/>
  <c r="CH113" i="13"/>
  <c r="CF113" i="13"/>
  <c r="CE113" i="13"/>
  <c r="CD113" i="13"/>
  <c r="CC113" i="13"/>
  <c r="CB113" i="13"/>
  <c r="CG113" i="13" s="1"/>
  <c r="CA113" i="13"/>
  <c r="BZ113" i="13"/>
  <c r="BY113" i="13"/>
  <c r="BW113" i="13"/>
  <c r="BV113" i="13"/>
  <c r="BU113" i="13"/>
  <c r="BT113" i="13"/>
  <c r="CW112" i="13"/>
  <c r="CV112" i="13"/>
  <c r="CU112" i="13"/>
  <c r="CT112" i="13"/>
  <c r="CS112" i="13"/>
  <c r="CR112" i="13"/>
  <c r="CQ112" i="13"/>
  <c r="CP112" i="13"/>
  <c r="CO112" i="13"/>
  <c r="CA112" i="13" s="1"/>
  <c r="CN112" i="13"/>
  <c r="CM112" i="13"/>
  <c r="CL112" i="13"/>
  <c r="CK112" i="13"/>
  <c r="CH112" i="13"/>
  <c r="CG112" i="13"/>
  <c r="CF112" i="13"/>
  <c r="CE112" i="13"/>
  <c r="CD112" i="13"/>
  <c r="CC112" i="13"/>
  <c r="CB112" i="13"/>
  <c r="BZ112" i="13"/>
  <c r="BY112" i="13"/>
  <c r="BW112" i="13"/>
  <c r="BV112" i="13"/>
  <c r="BU112" i="13"/>
  <c r="BT112" i="13"/>
  <c r="CW111" i="13"/>
  <c r="CV111" i="13"/>
  <c r="CU111" i="13"/>
  <c r="CT111" i="13"/>
  <c r="CS111" i="13"/>
  <c r="CR111" i="13"/>
  <c r="CQ111" i="13"/>
  <c r="CP111" i="13"/>
  <c r="CA111" i="13" s="1"/>
  <c r="CO111" i="13"/>
  <c r="CN111" i="13"/>
  <c r="CM111" i="13"/>
  <c r="CL111" i="13"/>
  <c r="CK111" i="13"/>
  <c r="CJ111" i="13"/>
  <c r="CH111" i="13"/>
  <c r="CF111" i="13"/>
  <c r="CE111" i="13"/>
  <c r="CD111" i="13"/>
  <c r="CC111" i="13"/>
  <c r="CB111" i="13"/>
  <c r="CG111" i="13" s="1"/>
  <c r="BZ111" i="13"/>
  <c r="BY111" i="13"/>
  <c r="BW111" i="13"/>
  <c r="BV111" i="13"/>
  <c r="BU111" i="13"/>
  <c r="BT111" i="13"/>
  <c r="CW110" i="13"/>
  <c r="CV110" i="13"/>
  <c r="CU110" i="13"/>
  <c r="CT110" i="13"/>
  <c r="CS110" i="13"/>
  <c r="CR110" i="13"/>
  <c r="CQ110" i="13"/>
  <c r="CP110" i="13"/>
  <c r="CO110" i="13"/>
  <c r="CA110" i="13" s="1"/>
  <c r="CN110" i="13"/>
  <c r="CM110" i="13"/>
  <c r="CL110" i="13"/>
  <c r="CK110" i="13"/>
  <c r="CJ110" i="13"/>
  <c r="CF110" i="13"/>
  <c r="CE110" i="13"/>
  <c r="CD110" i="13"/>
  <c r="CC110" i="13"/>
  <c r="CB110" i="13"/>
  <c r="CH110" i="13" s="1"/>
  <c r="BZ110" i="13"/>
  <c r="BY110" i="13"/>
  <c r="BX110" i="13"/>
  <c r="BW110" i="13"/>
  <c r="BV110" i="13"/>
  <c r="BU110" i="13"/>
  <c r="BT110" i="13"/>
  <c r="CW109" i="13"/>
  <c r="CV109" i="13"/>
  <c r="CU109" i="13"/>
  <c r="CT109" i="13"/>
  <c r="CS109" i="13"/>
  <c r="CR109" i="13"/>
  <c r="CQ109" i="13"/>
  <c r="CP109" i="13"/>
  <c r="CO109" i="13"/>
  <c r="CA109" i="13" s="1"/>
  <c r="CN109" i="13"/>
  <c r="CM109" i="13"/>
  <c r="CL109" i="13"/>
  <c r="CK109" i="13"/>
  <c r="CH109" i="13"/>
  <c r="CF109" i="13"/>
  <c r="CE109" i="13"/>
  <c r="CD109" i="13"/>
  <c r="CC109" i="13"/>
  <c r="CB109" i="13"/>
  <c r="CG109" i="13" s="1"/>
  <c r="BZ109" i="13"/>
  <c r="BY109" i="13"/>
  <c r="BW109" i="13"/>
  <c r="BV109" i="13"/>
  <c r="BU109" i="13"/>
  <c r="BT109" i="13"/>
  <c r="CW108" i="13"/>
  <c r="CV108" i="13"/>
  <c r="CU108" i="13"/>
  <c r="CT108" i="13"/>
  <c r="CS108" i="13"/>
  <c r="CR108" i="13"/>
  <c r="CQ108" i="13"/>
  <c r="CP108" i="13"/>
  <c r="CO108" i="13"/>
  <c r="CN108" i="13"/>
  <c r="CM108" i="13"/>
  <c r="CL108" i="13"/>
  <c r="CK108" i="13"/>
  <c r="CG108" i="13"/>
  <c r="CF108" i="13"/>
  <c r="CE108" i="13"/>
  <c r="CD108" i="13"/>
  <c r="CC108" i="13"/>
  <c r="CH108" i="13" s="1"/>
  <c r="CB108" i="13"/>
  <c r="BZ108" i="13"/>
  <c r="BY108" i="13"/>
  <c r="BW108" i="13"/>
  <c r="BV108" i="13"/>
  <c r="BU108" i="13"/>
  <c r="BT108" i="13"/>
  <c r="CW107" i="13"/>
  <c r="CV107" i="13"/>
  <c r="CU107" i="13"/>
  <c r="CT107" i="13"/>
  <c r="CS107" i="13"/>
  <c r="CR107" i="13"/>
  <c r="CQ107" i="13"/>
  <c r="CP107" i="13"/>
  <c r="CA107" i="13" s="1"/>
  <c r="CO107" i="13"/>
  <c r="CN107" i="13"/>
  <c r="CM107" i="13"/>
  <c r="CL107" i="13"/>
  <c r="CK107" i="13"/>
  <c r="CJ107" i="13"/>
  <c r="CF107" i="13"/>
  <c r="CE107" i="13"/>
  <c r="CD107" i="13"/>
  <c r="CC107" i="13"/>
  <c r="CB107" i="13"/>
  <c r="CG107" i="13" s="1"/>
  <c r="BZ107" i="13"/>
  <c r="BY107" i="13"/>
  <c r="BW107" i="13"/>
  <c r="BV107" i="13"/>
  <c r="BU107" i="13"/>
  <c r="BT107" i="13"/>
  <c r="CW106" i="13"/>
  <c r="CV106" i="13"/>
  <c r="CU106" i="13"/>
  <c r="CT106" i="13"/>
  <c r="CS106" i="13"/>
  <c r="CR106" i="13"/>
  <c r="CQ106" i="13"/>
  <c r="CP106" i="13"/>
  <c r="CO106" i="13"/>
  <c r="CA106" i="13" s="1"/>
  <c r="CN106" i="13"/>
  <c r="CM106" i="13"/>
  <c r="CL106" i="13"/>
  <c r="CK106" i="13"/>
  <c r="CJ106" i="13"/>
  <c r="BX106" i="13" s="1"/>
  <c r="CH106" i="13"/>
  <c r="CG106" i="13"/>
  <c r="CF106" i="13"/>
  <c r="CE106" i="13"/>
  <c r="CD106" i="13"/>
  <c r="CC106" i="13"/>
  <c r="CB106" i="13"/>
  <c r="BZ106" i="13"/>
  <c r="BY106" i="13"/>
  <c r="BW106" i="13"/>
  <c r="BV106" i="13"/>
  <c r="BU106" i="13"/>
  <c r="BT106" i="13"/>
  <c r="CW105" i="13"/>
  <c r="CV105" i="13"/>
  <c r="CU105" i="13"/>
  <c r="CT105" i="13"/>
  <c r="CS105" i="13"/>
  <c r="CR105" i="13"/>
  <c r="CQ105" i="13"/>
  <c r="CP105" i="13"/>
  <c r="CO105" i="13"/>
  <c r="CN105" i="13"/>
  <c r="CM105" i="13"/>
  <c r="CL105" i="13"/>
  <c r="CK105" i="13"/>
  <c r="BX105" i="13" s="1"/>
  <c r="CJ105" i="13"/>
  <c r="CF105" i="13"/>
  <c r="CE105" i="13"/>
  <c r="CD105" i="13"/>
  <c r="CC105" i="13"/>
  <c r="CB105" i="13"/>
  <c r="BZ105" i="13"/>
  <c r="BY105" i="13"/>
  <c r="BW105" i="13"/>
  <c r="BV105" i="13"/>
  <c r="BU105" i="13"/>
  <c r="BT105" i="13"/>
  <c r="CW104" i="13"/>
  <c r="CV104" i="13"/>
  <c r="CU104" i="13"/>
  <c r="CT104" i="13"/>
  <c r="CS104" i="13"/>
  <c r="CR104" i="13"/>
  <c r="CQ104" i="13"/>
  <c r="CP104" i="13"/>
  <c r="CO104" i="13"/>
  <c r="CN104" i="13"/>
  <c r="CA104" i="13" s="1"/>
  <c r="CM104" i="13"/>
  <c r="CL104" i="13"/>
  <c r="CK104" i="13"/>
  <c r="CJ104" i="13"/>
  <c r="CG104" i="13"/>
  <c r="CF104" i="13"/>
  <c r="CE104" i="13"/>
  <c r="CD104" i="13"/>
  <c r="CC104" i="13"/>
  <c r="CB104" i="13"/>
  <c r="CH104" i="13" s="1"/>
  <c r="BZ104" i="13"/>
  <c r="BY104" i="13"/>
  <c r="BW104" i="13"/>
  <c r="BV104" i="13"/>
  <c r="BU104" i="13"/>
  <c r="BT104" i="13"/>
  <c r="CW103" i="13"/>
  <c r="CV103" i="13"/>
  <c r="CU103" i="13"/>
  <c r="CT103" i="13"/>
  <c r="CS103" i="13"/>
  <c r="CR103" i="13"/>
  <c r="CQ103" i="13"/>
  <c r="CP103" i="13"/>
  <c r="CO103" i="13"/>
  <c r="CN103" i="13"/>
  <c r="CM103" i="13"/>
  <c r="CL103" i="13"/>
  <c r="CK103" i="13"/>
  <c r="BX103" i="13" s="1"/>
  <c r="CJ103" i="13"/>
  <c r="CG103" i="13"/>
  <c r="CF103" i="13"/>
  <c r="CE103" i="13"/>
  <c r="CD103" i="13"/>
  <c r="CC103" i="13"/>
  <c r="CH103" i="13" s="1"/>
  <c r="CB103" i="13"/>
  <c r="BZ103" i="13"/>
  <c r="BY103" i="13"/>
  <c r="BW103" i="13"/>
  <c r="BV103" i="13"/>
  <c r="BU103" i="13"/>
  <c r="BT103" i="13"/>
  <c r="CW102" i="13"/>
  <c r="CV102" i="13"/>
  <c r="CU102" i="13"/>
  <c r="CT102" i="13"/>
  <c r="CS102" i="13"/>
  <c r="CR102" i="13"/>
  <c r="CQ102" i="13"/>
  <c r="CP102" i="13"/>
  <c r="CO102" i="13"/>
  <c r="CN102" i="13"/>
  <c r="CM102" i="13"/>
  <c r="CL102" i="13"/>
  <c r="CK102" i="13"/>
  <c r="CJ102" i="13"/>
  <c r="CW101" i="13"/>
  <c r="CV101" i="13"/>
  <c r="CU101" i="13"/>
  <c r="CT101" i="13"/>
  <c r="CS101" i="13"/>
  <c r="CR101" i="13"/>
  <c r="CQ101" i="13"/>
  <c r="CP101" i="13"/>
  <c r="CO101" i="13"/>
  <c r="CA101" i="13" s="1"/>
  <c r="CN101" i="13"/>
  <c r="CM101" i="13"/>
  <c r="CL101" i="13"/>
  <c r="CK101" i="13"/>
  <c r="BX101" i="13" s="1"/>
  <c r="CJ101" i="13"/>
  <c r="CG101" i="13"/>
  <c r="CF101" i="13"/>
  <c r="CE101" i="13"/>
  <c r="CD101" i="13"/>
  <c r="CC101" i="13"/>
  <c r="CB101" i="13"/>
  <c r="CH101" i="13" s="1"/>
  <c r="BZ101" i="13"/>
  <c r="BY101" i="13"/>
  <c r="BW101" i="13"/>
  <c r="BV101" i="13"/>
  <c r="BU101" i="13"/>
  <c r="BT101" i="13"/>
  <c r="CW100" i="13"/>
  <c r="CV100" i="13"/>
  <c r="CU100" i="13"/>
  <c r="CT100" i="13"/>
  <c r="CS100" i="13"/>
  <c r="CR100" i="13"/>
  <c r="CQ100" i="13"/>
  <c r="CP100" i="13"/>
  <c r="CO100" i="13"/>
  <c r="CN100" i="13"/>
  <c r="CM100" i="13"/>
  <c r="CL100" i="13"/>
  <c r="CK100" i="13"/>
  <c r="CJ100" i="13"/>
  <c r="CW99" i="13"/>
  <c r="CV99" i="13"/>
  <c r="CU99" i="13"/>
  <c r="CT99" i="13"/>
  <c r="CS99" i="13"/>
  <c r="CR99" i="13"/>
  <c r="CQ99" i="13"/>
  <c r="CP99" i="13"/>
  <c r="CO99" i="13"/>
  <c r="CA99" i="13" s="1"/>
  <c r="CN99" i="13"/>
  <c r="CM99" i="13"/>
  <c r="CL99" i="13"/>
  <c r="CK99" i="13"/>
  <c r="CF99" i="13"/>
  <c r="CE99" i="13"/>
  <c r="CD99" i="13"/>
  <c r="CC99" i="13"/>
  <c r="CB99" i="13"/>
  <c r="CG99" i="13" s="1"/>
  <c r="BZ99" i="13"/>
  <c r="BY99" i="13"/>
  <c r="BW99" i="13"/>
  <c r="BV99" i="13"/>
  <c r="BU99" i="13"/>
  <c r="BT99" i="13"/>
  <c r="CW98" i="13"/>
  <c r="CV98" i="13"/>
  <c r="CU98" i="13"/>
  <c r="CT98" i="13"/>
  <c r="CS98" i="13"/>
  <c r="CR98" i="13"/>
  <c r="CQ98" i="13"/>
  <c r="CP98" i="13"/>
  <c r="CO98" i="13"/>
  <c r="CA98" i="13" s="1"/>
  <c r="CN98" i="13"/>
  <c r="CM98" i="13"/>
  <c r="CL98" i="13"/>
  <c r="CK98" i="13"/>
  <c r="CH98" i="13"/>
  <c r="CG98" i="13"/>
  <c r="CF98" i="13"/>
  <c r="CE98" i="13"/>
  <c r="CD98" i="13"/>
  <c r="CC98" i="13"/>
  <c r="CB98" i="13"/>
  <c r="BZ98" i="13"/>
  <c r="BY98" i="13"/>
  <c r="BW98" i="13"/>
  <c r="BV98" i="13"/>
  <c r="BU98" i="13"/>
  <c r="BT98" i="13"/>
  <c r="CW97" i="13"/>
  <c r="CV97" i="13"/>
  <c r="CU97" i="13"/>
  <c r="CT97" i="13"/>
  <c r="CS97" i="13"/>
  <c r="CR97" i="13"/>
  <c r="CQ97" i="13"/>
  <c r="CP97" i="13"/>
  <c r="CO97" i="13"/>
  <c r="CN97" i="13"/>
  <c r="CM97" i="13"/>
  <c r="CL97" i="13"/>
  <c r="CK97" i="13"/>
  <c r="CJ97" i="13"/>
  <c r="CW96" i="13"/>
  <c r="CV96" i="13"/>
  <c r="CU96" i="13"/>
  <c r="CT96" i="13"/>
  <c r="CS96" i="13"/>
  <c r="CR96" i="13"/>
  <c r="CQ96" i="13"/>
  <c r="CP96" i="13"/>
  <c r="CO96" i="13"/>
  <c r="CN96" i="13"/>
  <c r="CM96" i="13"/>
  <c r="CL96" i="13"/>
  <c r="CK96" i="13"/>
  <c r="CJ96" i="13"/>
  <c r="CW95" i="13"/>
  <c r="CV95" i="13"/>
  <c r="CU95" i="13"/>
  <c r="CT95" i="13"/>
  <c r="CS95" i="13"/>
  <c r="CR95" i="13"/>
  <c r="CQ95" i="13"/>
  <c r="CP95" i="13"/>
  <c r="CO95" i="13"/>
  <c r="CN95" i="13"/>
  <c r="CM95" i="13"/>
  <c r="CL95" i="13"/>
  <c r="CK95" i="13"/>
  <c r="CJ95" i="13"/>
  <c r="CW94" i="13"/>
  <c r="CV94" i="13"/>
  <c r="CU94" i="13"/>
  <c r="CT94" i="13"/>
  <c r="CS94" i="13"/>
  <c r="CR94" i="13"/>
  <c r="CQ94" i="13"/>
  <c r="CP94" i="13"/>
  <c r="CO94" i="13"/>
  <c r="CN94" i="13"/>
  <c r="CM94" i="13"/>
  <c r="CL94" i="13"/>
  <c r="BX94" i="13" s="1"/>
  <c r="CK94" i="13"/>
  <c r="CJ94" i="13"/>
  <c r="CF94" i="13"/>
  <c r="CE94" i="13"/>
  <c r="CD94" i="13"/>
  <c r="CC94" i="13"/>
  <c r="CB94" i="13"/>
  <c r="BZ94" i="13"/>
  <c r="BY94" i="13"/>
  <c r="BW94" i="13"/>
  <c r="BV94" i="13"/>
  <c r="BU94" i="13"/>
  <c r="BT94" i="13"/>
  <c r="CW93" i="13"/>
  <c r="CV93" i="13"/>
  <c r="CU93" i="13"/>
  <c r="CT93" i="13"/>
  <c r="CS93" i="13"/>
  <c r="CR93" i="13"/>
  <c r="CQ93" i="13"/>
  <c r="CP93" i="13"/>
  <c r="CO93" i="13"/>
  <c r="CN93" i="13"/>
  <c r="CA93" i="13" s="1"/>
  <c r="CM93" i="13"/>
  <c r="CL93" i="13"/>
  <c r="CK93" i="13"/>
  <c r="BX93" i="13" s="1"/>
  <c r="CJ93" i="13"/>
  <c r="CH93" i="13"/>
  <c r="CG93" i="13"/>
  <c r="CF93" i="13"/>
  <c r="CE93" i="13"/>
  <c r="CD93" i="13"/>
  <c r="CC93" i="13"/>
  <c r="CB93" i="13"/>
  <c r="BZ93" i="13"/>
  <c r="BY93" i="13"/>
  <c r="BW93" i="13"/>
  <c r="BV93" i="13"/>
  <c r="BU93" i="13"/>
  <c r="BT93" i="13"/>
  <c r="CW92" i="13"/>
  <c r="CV92" i="13"/>
  <c r="CU92" i="13"/>
  <c r="CT92" i="13"/>
  <c r="CS92" i="13"/>
  <c r="CR92" i="13"/>
  <c r="CQ92" i="13"/>
  <c r="CP92" i="13"/>
  <c r="CO92" i="13"/>
  <c r="CA92" i="13" s="1"/>
  <c r="CN92" i="13"/>
  <c r="CM92" i="13"/>
  <c r="CL92" i="13"/>
  <c r="CK92" i="13"/>
  <c r="CF92" i="13"/>
  <c r="CE92" i="13"/>
  <c r="CD92" i="13"/>
  <c r="CC92" i="13"/>
  <c r="CB92" i="13"/>
  <c r="CH92" i="13" s="1"/>
  <c r="BZ92" i="13"/>
  <c r="BY92" i="13"/>
  <c r="BW92" i="13"/>
  <c r="BV92" i="13"/>
  <c r="BU92" i="13"/>
  <c r="BT92" i="13"/>
  <c r="CW91" i="13"/>
  <c r="CV91" i="13"/>
  <c r="CU91" i="13"/>
  <c r="CT91" i="13"/>
  <c r="CS91" i="13"/>
  <c r="CR91" i="13"/>
  <c r="CQ91" i="13"/>
  <c r="CP91" i="13"/>
  <c r="CO91" i="13"/>
  <c r="CA91" i="13" s="1"/>
  <c r="CN91" i="13"/>
  <c r="CM91" i="13"/>
  <c r="CL91" i="13"/>
  <c r="CK91" i="13"/>
  <c r="CJ91" i="13"/>
  <c r="CF91" i="13"/>
  <c r="CE91" i="13"/>
  <c r="CE132" i="13" s="1"/>
  <c r="CD91" i="13"/>
  <c r="CC91" i="13"/>
  <c r="CB91" i="13"/>
  <c r="CH91" i="13" s="1"/>
  <c r="BZ91" i="13"/>
  <c r="BY91" i="13"/>
  <c r="BX91" i="13"/>
  <c r="BW91" i="13"/>
  <c r="BV91" i="13"/>
  <c r="BU91" i="13"/>
  <c r="BT91" i="13"/>
  <c r="CW90" i="13"/>
  <c r="CV90" i="13"/>
  <c r="CU90" i="13"/>
  <c r="CT90" i="13"/>
  <c r="CS90" i="13"/>
  <c r="CR90" i="13"/>
  <c r="CQ90" i="13"/>
  <c r="CP90" i="13"/>
  <c r="CO90" i="13"/>
  <c r="CA90" i="13" s="1"/>
  <c r="CN90" i="13"/>
  <c r="CM90" i="13"/>
  <c r="CL90" i="13"/>
  <c r="BX90" i="13" s="1"/>
  <c r="CK90" i="13"/>
  <c r="CJ90" i="13"/>
  <c r="CF90" i="13"/>
  <c r="CE90" i="13"/>
  <c r="CE131" i="13" s="1"/>
  <c r="CD90" i="13"/>
  <c r="CD131" i="13" s="1"/>
  <c r="CC90" i="13"/>
  <c r="CB90" i="13"/>
  <c r="CG90" i="13" s="1"/>
  <c r="BZ90" i="13"/>
  <c r="BY90" i="13"/>
  <c r="BW90" i="13"/>
  <c r="BV90" i="13"/>
  <c r="BU90" i="13"/>
  <c r="BT90" i="13"/>
  <c r="CW89" i="13"/>
  <c r="CV89" i="13"/>
  <c r="CU89" i="13"/>
  <c r="CT89" i="13"/>
  <c r="CS89" i="13"/>
  <c r="CR89" i="13"/>
  <c r="CQ89" i="13"/>
  <c r="CP89" i="13"/>
  <c r="CO89" i="13"/>
  <c r="CN89" i="13"/>
  <c r="CM89" i="13"/>
  <c r="CL89" i="13"/>
  <c r="CK89" i="13"/>
  <c r="CJ89" i="13"/>
  <c r="CW88" i="13"/>
  <c r="CV88" i="13"/>
  <c r="CU88" i="13"/>
  <c r="CT88" i="13"/>
  <c r="CS88" i="13"/>
  <c r="CR88" i="13"/>
  <c r="CQ88" i="13"/>
  <c r="CP88" i="13"/>
  <c r="CO88" i="13"/>
  <c r="CN88" i="13"/>
  <c r="CA88" i="13" s="1"/>
  <c r="CM88" i="13"/>
  <c r="CL88" i="13"/>
  <c r="CK88" i="13"/>
  <c r="BX88" i="13" s="1"/>
  <c r="CJ88" i="13"/>
  <c r="CH88" i="13"/>
  <c r="CG88" i="13"/>
  <c r="CF88" i="13"/>
  <c r="CE88" i="13"/>
  <c r="CD88" i="13"/>
  <c r="CD132" i="13" s="1"/>
  <c r="CC88" i="13"/>
  <c r="CB88" i="13"/>
  <c r="BZ88" i="13"/>
  <c r="BY88" i="13"/>
  <c r="BW88" i="13"/>
  <c r="BV88" i="13"/>
  <c r="BU88" i="13"/>
  <c r="BT88" i="13"/>
  <c r="CW81" i="13"/>
  <c r="CV81" i="13"/>
  <c r="CU81" i="13"/>
  <c r="CT81" i="13"/>
  <c r="CS81" i="13"/>
  <c r="CR81" i="13"/>
  <c r="CQ81" i="13"/>
  <c r="CP81" i="13"/>
  <c r="CO81" i="13"/>
  <c r="CA81" i="13" s="1"/>
  <c r="CN81" i="13"/>
  <c r="CM81" i="13"/>
  <c r="CL81" i="13"/>
  <c r="BX81" i="13" s="1"/>
  <c r="CK81" i="13"/>
  <c r="CJ81" i="13"/>
  <c r="CG81" i="13"/>
  <c r="CF81" i="13"/>
  <c r="CE81" i="13"/>
  <c r="CD81" i="13"/>
  <c r="CC81" i="13"/>
  <c r="CB81" i="13"/>
  <c r="CH81" i="13" s="1"/>
  <c r="BZ81" i="13"/>
  <c r="BY81" i="13"/>
  <c r="BW81" i="13"/>
  <c r="BV81" i="13"/>
  <c r="BU81" i="13"/>
  <c r="BT81" i="13"/>
  <c r="CW80" i="13"/>
  <c r="CV80" i="13"/>
  <c r="CU80" i="13"/>
  <c r="CT80" i="13"/>
  <c r="CS80" i="13"/>
  <c r="CR80" i="13"/>
  <c r="CQ80" i="13"/>
  <c r="CP80" i="13"/>
  <c r="CO80" i="13"/>
  <c r="CN80" i="13"/>
  <c r="CM80" i="13"/>
  <c r="CL80" i="13"/>
  <c r="CK80" i="13"/>
  <c r="CH80" i="13"/>
  <c r="CF80" i="13"/>
  <c r="CE80" i="13"/>
  <c r="CD80" i="13"/>
  <c r="CC80" i="13"/>
  <c r="CB80" i="13"/>
  <c r="CG80" i="13" s="1"/>
  <c r="CA80" i="13"/>
  <c r="BZ80" i="13"/>
  <c r="BY80" i="13"/>
  <c r="BW80" i="13"/>
  <c r="BV80" i="13"/>
  <c r="BU80" i="13"/>
  <c r="BT80" i="13"/>
  <c r="CW79" i="13"/>
  <c r="CV79" i="13"/>
  <c r="CU79" i="13"/>
  <c r="CT79" i="13"/>
  <c r="CS79" i="13"/>
  <c r="CR79" i="13"/>
  <c r="CQ79" i="13"/>
  <c r="CP79" i="13"/>
  <c r="CO79" i="13"/>
  <c r="CN79" i="13"/>
  <c r="CM79" i="13"/>
  <c r="CL79" i="13"/>
  <c r="CK79" i="13"/>
  <c r="CJ79" i="13"/>
  <c r="CG79" i="13"/>
  <c r="CF79" i="13"/>
  <c r="CE79" i="13"/>
  <c r="CD79" i="13"/>
  <c r="CC79" i="13"/>
  <c r="CH79" i="13" s="1"/>
  <c r="CB79" i="13"/>
  <c r="BZ79" i="13"/>
  <c r="BY79" i="13"/>
  <c r="BX79" i="13"/>
  <c r="BW79" i="13"/>
  <c r="BV79" i="13"/>
  <c r="BU79" i="13"/>
  <c r="BT79" i="13"/>
  <c r="CW78" i="13"/>
  <c r="CV78" i="13"/>
  <c r="CU78" i="13"/>
  <c r="CT78" i="13"/>
  <c r="CS78" i="13"/>
  <c r="CR78" i="13"/>
  <c r="CQ78" i="13"/>
  <c r="CP78" i="13"/>
  <c r="CO78" i="13"/>
  <c r="CN78" i="13"/>
  <c r="CA78" i="13" s="1"/>
  <c r="CM78" i="13"/>
  <c r="CL78" i="13"/>
  <c r="CK78" i="13"/>
  <c r="CJ78" i="13"/>
  <c r="CG78" i="13"/>
  <c r="CF78" i="13"/>
  <c r="CE78" i="13"/>
  <c r="CD78" i="13"/>
  <c r="CC78" i="13"/>
  <c r="CB78" i="13"/>
  <c r="CH78" i="13" s="1"/>
  <c r="BZ78" i="13"/>
  <c r="BY78" i="13"/>
  <c r="BW78" i="13"/>
  <c r="BV78" i="13"/>
  <c r="BU78" i="13"/>
  <c r="BT78" i="13"/>
  <c r="CW77" i="13"/>
  <c r="CV77" i="13"/>
  <c r="CU77" i="13"/>
  <c r="CT77" i="13"/>
  <c r="CS77" i="13"/>
  <c r="CR77" i="13"/>
  <c r="CQ77" i="13"/>
  <c r="CP77" i="13"/>
  <c r="CO77" i="13"/>
  <c r="CN77" i="13"/>
  <c r="CM77" i="13"/>
  <c r="CL77" i="13"/>
  <c r="CK77" i="13"/>
  <c r="BX77" i="13" s="1"/>
  <c r="CJ77" i="13"/>
  <c r="CF77" i="13"/>
  <c r="CE77" i="13"/>
  <c r="CD77" i="13"/>
  <c r="CC77" i="13"/>
  <c r="CB77" i="13"/>
  <c r="CH77" i="13" s="1"/>
  <c r="CA77" i="13"/>
  <c r="BZ77" i="13"/>
  <c r="BY77" i="13"/>
  <c r="BW77" i="13"/>
  <c r="BV77" i="13"/>
  <c r="BU77" i="13"/>
  <c r="BT77" i="13"/>
  <c r="CW75" i="13"/>
  <c r="CV75" i="13"/>
  <c r="CU75" i="13"/>
  <c r="CT75" i="13"/>
  <c r="CS75" i="13"/>
  <c r="CR75" i="13"/>
  <c r="CQ75" i="13"/>
  <c r="CP75" i="13"/>
  <c r="CA75" i="13" s="1"/>
  <c r="CO75" i="13"/>
  <c r="CN75" i="13"/>
  <c r="CM75" i="13"/>
  <c r="CL75" i="13"/>
  <c r="CK75" i="13"/>
  <c r="CJ75" i="13"/>
  <c r="CG75" i="13"/>
  <c r="CF75" i="13"/>
  <c r="CE75" i="13"/>
  <c r="CD75" i="13"/>
  <c r="CC75" i="13"/>
  <c r="CB75" i="13"/>
  <c r="CH75" i="13" s="1"/>
  <c r="BZ75" i="13"/>
  <c r="BY75" i="13"/>
  <c r="BX75" i="13"/>
  <c r="BW75" i="13"/>
  <c r="BV75" i="13"/>
  <c r="BU75" i="13"/>
  <c r="BT75" i="13"/>
  <c r="CW74" i="13"/>
  <c r="CV74" i="13"/>
  <c r="CU74" i="13"/>
  <c r="CT74" i="13"/>
  <c r="CS74" i="13"/>
  <c r="CR74" i="13"/>
  <c r="CQ74" i="13"/>
  <c r="CP74" i="13"/>
  <c r="CO74" i="13"/>
  <c r="CA74" i="13" s="1"/>
  <c r="CN74" i="13"/>
  <c r="CM74" i="13"/>
  <c r="CL74" i="13"/>
  <c r="BX74" i="13" s="1"/>
  <c r="CK74" i="13"/>
  <c r="CJ74" i="13"/>
  <c r="CF74" i="13"/>
  <c r="CE74" i="13"/>
  <c r="CD74" i="13"/>
  <c r="CC74" i="13"/>
  <c r="CB74" i="13"/>
  <c r="CH74" i="13" s="1"/>
  <c r="BZ74" i="13"/>
  <c r="BY74" i="13"/>
  <c r="BW74" i="13"/>
  <c r="BV74" i="13"/>
  <c r="BU74" i="13"/>
  <c r="BT74" i="13"/>
  <c r="CW73" i="13"/>
  <c r="CV73" i="13"/>
  <c r="CU73" i="13"/>
  <c r="CT73" i="13"/>
  <c r="CS73" i="13"/>
  <c r="CR73" i="13"/>
  <c r="CQ73" i="13"/>
  <c r="CP73" i="13"/>
  <c r="CO73" i="13"/>
  <c r="CN73" i="13"/>
  <c r="CM73" i="13"/>
  <c r="CL73" i="13"/>
  <c r="CK73" i="13"/>
  <c r="BX73" i="13" s="1"/>
  <c r="CJ73" i="13"/>
  <c r="CH73" i="13"/>
  <c r="CG73" i="13"/>
  <c r="CF73" i="13"/>
  <c r="CE73" i="13"/>
  <c r="CD73" i="13"/>
  <c r="CC73" i="13"/>
  <c r="CB73" i="13"/>
  <c r="CA73" i="13"/>
  <c r="BZ73" i="13"/>
  <c r="BY73" i="13"/>
  <c r="BW73" i="13"/>
  <c r="BV73" i="13"/>
  <c r="BU73" i="13"/>
  <c r="BT73" i="13"/>
  <c r="CW72" i="13"/>
  <c r="CV72" i="13"/>
  <c r="CU72" i="13"/>
  <c r="CT72" i="13"/>
  <c r="CS72" i="13"/>
  <c r="CR72" i="13"/>
  <c r="CQ72" i="13"/>
  <c r="CP72" i="13"/>
  <c r="CO72" i="13"/>
  <c r="CA72" i="13" s="1"/>
  <c r="CN72" i="13"/>
  <c r="CM72" i="13"/>
  <c r="CL72" i="13"/>
  <c r="CK72" i="13"/>
  <c r="CJ72" i="13"/>
  <c r="CH72" i="13"/>
  <c r="CG72" i="13"/>
  <c r="CF72" i="13"/>
  <c r="CE72" i="13"/>
  <c r="CD72" i="13"/>
  <c r="CC72" i="13"/>
  <c r="CB72" i="13"/>
  <c r="BZ72" i="13"/>
  <c r="BY72" i="13"/>
  <c r="BX72" i="13"/>
  <c r="BW72" i="13"/>
  <c r="BV72" i="13"/>
  <c r="BU72" i="13"/>
  <c r="BT72" i="13"/>
  <c r="CW71" i="13"/>
  <c r="CV71" i="13"/>
  <c r="CU71" i="13"/>
  <c r="CT71" i="13"/>
  <c r="CS71" i="13"/>
  <c r="CR71" i="13"/>
  <c r="CQ71" i="13"/>
  <c r="CP71" i="13"/>
  <c r="CO71" i="13"/>
  <c r="CN71" i="13"/>
  <c r="CM71" i="13"/>
  <c r="CL71" i="13"/>
  <c r="CK71" i="13"/>
  <c r="BX71" i="13" s="1"/>
  <c r="CJ71" i="13"/>
  <c r="CF71" i="13"/>
  <c r="CE71" i="13"/>
  <c r="CD71" i="13"/>
  <c r="CC71" i="13"/>
  <c r="CB71" i="13"/>
  <c r="CH71" i="13" s="1"/>
  <c r="CA71" i="13"/>
  <c r="BZ71" i="13"/>
  <c r="BY71" i="13"/>
  <c r="BW71" i="13"/>
  <c r="BV71" i="13"/>
  <c r="BU71" i="13"/>
  <c r="BT71" i="13"/>
  <c r="CW69" i="13"/>
  <c r="CV69" i="13"/>
  <c r="CU69" i="13"/>
  <c r="CT69" i="13"/>
  <c r="CS69" i="13"/>
  <c r="CR69" i="13"/>
  <c r="CQ69" i="13"/>
  <c r="CP69" i="13"/>
  <c r="CA69" i="13" s="1"/>
  <c r="CO69" i="13"/>
  <c r="CN69" i="13"/>
  <c r="CM69" i="13"/>
  <c r="CL69" i="13"/>
  <c r="CK69" i="13"/>
  <c r="CG69" i="13"/>
  <c r="CF69" i="13"/>
  <c r="CE69" i="13"/>
  <c r="CD69" i="13"/>
  <c r="CC69" i="13"/>
  <c r="CB69" i="13"/>
  <c r="BZ69" i="13"/>
  <c r="BY69" i="13"/>
  <c r="BW69" i="13"/>
  <c r="BV69" i="13"/>
  <c r="BU69" i="13"/>
  <c r="BT69" i="13"/>
  <c r="CW67" i="13"/>
  <c r="CV67" i="13"/>
  <c r="CU67" i="13"/>
  <c r="CT67" i="13"/>
  <c r="CS67" i="13"/>
  <c r="CR67" i="13"/>
  <c r="CQ67" i="13"/>
  <c r="CP67" i="13"/>
  <c r="CO67" i="13"/>
  <c r="CN67" i="13"/>
  <c r="CA67" i="13" s="1"/>
  <c r="CM67" i="13"/>
  <c r="CL67" i="13"/>
  <c r="CK67" i="13"/>
  <c r="CJ67" i="13"/>
  <c r="CF67" i="13"/>
  <c r="CE67" i="13"/>
  <c r="CD67" i="13"/>
  <c r="CC67" i="13"/>
  <c r="CB67" i="13"/>
  <c r="CG67" i="13" s="1"/>
  <c r="BZ67" i="13"/>
  <c r="BY67" i="13"/>
  <c r="BW67" i="13"/>
  <c r="BV67" i="13"/>
  <c r="BU67" i="13"/>
  <c r="BT67" i="13"/>
  <c r="CW66" i="13"/>
  <c r="CV66" i="13"/>
  <c r="CU66" i="13"/>
  <c r="CT66" i="13"/>
  <c r="CS66" i="13"/>
  <c r="CR66" i="13"/>
  <c r="CQ66" i="13"/>
  <c r="CP66" i="13"/>
  <c r="CO66" i="13"/>
  <c r="CA66" i="13" s="1"/>
  <c r="CN66" i="13"/>
  <c r="CM66" i="13"/>
  <c r="CL66" i="13"/>
  <c r="CK66" i="13"/>
  <c r="CJ66" i="13"/>
  <c r="BX66" i="13" s="1"/>
  <c r="CH66" i="13"/>
  <c r="CG66" i="13"/>
  <c r="CF66" i="13"/>
  <c r="CE66" i="13"/>
  <c r="CD66" i="13"/>
  <c r="CC66" i="13"/>
  <c r="CB66" i="13"/>
  <c r="BZ66" i="13"/>
  <c r="BY66" i="13"/>
  <c r="BW66" i="13"/>
  <c r="BV66" i="13"/>
  <c r="BU66" i="13"/>
  <c r="BT66" i="13"/>
  <c r="CW65" i="13"/>
  <c r="CV65" i="13"/>
  <c r="CU65" i="13"/>
  <c r="CT65" i="13"/>
  <c r="CS65" i="13"/>
  <c r="CR65" i="13"/>
  <c r="CQ65" i="13"/>
  <c r="CP65" i="13"/>
  <c r="CO65" i="13"/>
  <c r="CN65" i="13"/>
  <c r="CM65" i="13"/>
  <c r="CL65" i="13"/>
  <c r="CK65" i="13"/>
  <c r="BX65" i="13" s="1"/>
  <c r="CJ65" i="13"/>
  <c r="CF65" i="13"/>
  <c r="CE65" i="13"/>
  <c r="CD65" i="13"/>
  <c r="CC65" i="13"/>
  <c r="CB65" i="13"/>
  <c r="CH65" i="13" s="1"/>
  <c r="CA65" i="13"/>
  <c r="BZ65" i="13"/>
  <c r="BY65" i="13"/>
  <c r="BW65" i="13"/>
  <c r="BV65" i="13"/>
  <c r="BU65" i="13"/>
  <c r="BT65" i="13"/>
  <c r="CW64" i="13"/>
  <c r="CV64" i="13"/>
  <c r="CU64" i="13"/>
  <c r="CT64" i="13"/>
  <c r="CS64" i="13"/>
  <c r="CR64" i="13"/>
  <c r="CQ64" i="13"/>
  <c r="CP64" i="13"/>
  <c r="CO64" i="13"/>
  <c r="CA64" i="13" s="1"/>
  <c r="CN64" i="13"/>
  <c r="CM64" i="13"/>
  <c r="CL64" i="13"/>
  <c r="CK64" i="13"/>
  <c r="CJ64" i="13"/>
  <c r="CF64" i="13"/>
  <c r="CE64" i="13"/>
  <c r="CD64" i="13"/>
  <c r="CC64" i="13"/>
  <c r="CB64" i="13"/>
  <c r="CH64" i="13" s="1"/>
  <c r="BZ64" i="13"/>
  <c r="BY64" i="13"/>
  <c r="BX64" i="13"/>
  <c r="BW64" i="13"/>
  <c r="BV64" i="13"/>
  <c r="BU64" i="13"/>
  <c r="BT64" i="13"/>
  <c r="CW63" i="13"/>
  <c r="CV63" i="13"/>
  <c r="CU63" i="13"/>
  <c r="CT63" i="13"/>
  <c r="CS63" i="13"/>
  <c r="CR63" i="13"/>
  <c r="CQ63" i="13"/>
  <c r="CP63" i="13"/>
  <c r="CO63" i="13"/>
  <c r="CN63" i="13"/>
  <c r="CM63" i="13"/>
  <c r="CL63" i="13"/>
  <c r="CK63" i="13"/>
  <c r="BX63" i="13" s="1"/>
  <c r="CJ63" i="13"/>
  <c r="CG63" i="13"/>
  <c r="CF63" i="13"/>
  <c r="CE63" i="13"/>
  <c r="CD63" i="13"/>
  <c r="CC63" i="13"/>
  <c r="CB63" i="13"/>
  <c r="CH63" i="13" s="1"/>
  <c r="CA63" i="13"/>
  <c r="BZ63" i="13"/>
  <c r="BY63" i="13"/>
  <c r="BW63" i="13"/>
  <c r="BV63" i="13"/>
  <c r="BU63" i="13"/>
  <c r="BT63" i="13"/>
  <c r="CW62" i="13"/>
  <c r="CV62" i="13"/>
  <c r="CU62" i="13"/>
  <c r="CT62" i="13"/>
  <c r="CS62" i="13"/>
  <c r="CR62" i="13"/>
  <c r="CQ62" i="13"/>
  <c r="CP62" i="13"/>
  <c r="CO62" i="13"/>
  <c r="CA62" i="13" s="1"/>
  <c r="CN62" i="13"/>
  <c r="CM62" i="13"/>
  <c r="CL62" i="13"/>
  <c r="CK62" i="13"/>
  <c r="CJ62" i="13"/>
  <c r="CH62" i="13"/>
  <c r="CG62" i="13"/>
  <c r="CF62" i="13"/>
  <c r="CE62" i="13"/>
  <c r="CD62" i="13"/>
  <c r="CC62" i="13"/>
  <c r="CB62" i="13"/>
  <c r="BZ62" i="13"/>
  <c r="BY62" i="13"/>
  <c r="BX62" i="13"/>
  <c r="BW62" i="13"/>
  <c r="BV62" i="13"/>
  <c r="BU62" i="13"/>
  <c r="BT62" i="13"/>
  <c r="CW61" i="13"/>
  <c r="CV61" i="13"/>
  <c r="CU61" i="13"/>
  <c r="CT61" i="13"/>
  <c r="CS61" i="13"/>
  <c r="CR61" i="13"/>
  <c r="CQ61" i="13"/>
  <c r="CP61" i="13"/>
  <c r="CO61" i="13"/>
  <c r="CN61" i="13"/>
  <c r="CM61" i="13"/>
  <c r="CL61" i="13"/>
  <c r="CK61" i="13"/>
  <c r="BX61" i="13" s="1"/>
  <c r="CJ61" i="13"/>
  <c r="CH61" i="13"/>
  <c r="CG61" i="13"/>
  <c r="CF61" i="13"/>
  <c r="CE61" i="13"/>
  <c r="CD61" i="13"/>
  <c r="CC61" i="13"/>
  <c r="CB61" i="13"/>
  <c r="CA61" i="13"/>
  <c r="BZ61" i="13"/>
  <c r="BY61" i="13"/>
  <c r="BW61" i="13"/>
  <c r="BV61" i="13"/>
  <c r="BU61" i="13"/>
  <c r="BT61" i="13"/>
  <c r="CW59" i="13"/>
  <c r="CV59" i="13"/>
  <c r="CU59" i="13"/>
  <c r="CT59" i="13"/>
  <c r="CS59" i="13"/>
  <c r="CR59" i="13"/>
  <c r="CQ59" i="13"/>
  <c r="CP59" i="13"/>
  <c r="CO59" i="13"/>
  <c r="CN59" i="13"/>
  <c r="CM59" i="13"/>
  <c r="CL59" i="13"/>
  <c r="CK59" i="13"/>
  <c r="CJ59" i="13"/>
  <c r="CH59" i="13"/>
  <c r="CF59" i="13"/>
  <c r="CE59" i="13"/>
  <c r="CD59" i="13"/>
  <c r="CC59" i="13"/>
  <c r="CB59" i="13"/>
  <c r="CG59" i="13" s="1"/>
  <c r="CA59" i="13"/>
  <c r="BZ59" i="13"/>
  <c r="BY59" i="13"/>
  <c r="BX59" i="13"/>
  <c r="BW59" i="13"/>
  <c r="BV59" i="13"/>
  <c r="BU59" i="13"/>
  <c r="BT59" i="13"/>
  <c r="CW58" i="13"/>
  <c r="CV58" i="13"/>
  <c r="CU58" i="13"/>
  <c r="CT58" i="13"/>
  <c r="CS58" i="13"/>
  <c r="CR58" i="13"/>
  <c r="CQ58" i="13"/>
  <c r="CP58" i="13"/>
  <c r="CO58" i="13"/>
  <c r="CA58" i="13" s="1"/>
  <c r="CN58" i="13"/>
  <c r="CM58" i="13"/>
  <c r="CL58" i="13"/>
  <c r="CK58" i="13"/>
  <c r="CJ58" i="13"/>
  <c r="CF58" i="13"/>
  <c r="CE58" i="13"/>
  <c r="CD58" i="13"/>
  <c r="CC58" i="13"/>
  <c r="CB58" i="13"/>
  <c r="CH58" i="13" s="1"/>
  <c r="BZ58" i="13"/>
  <c r="BY58" i="13"/>
  <c r="BX58" i="13"/>
  <c r="BW58" i="13"/>
  <c r="BV58" i="13"/>
  <c r="BU58" i="13"/>
  <c r="BT58" i="13"/>
  <c r="CW57" i="13"/>
  <c r="CV57" i="13"/>
  <c r="CU57" i="13"/>
  <c r="CT57" i="13"/>
  <c r="CS57" i="13"/>
  <c r="CR57" i="13"/>
  <c r="CQ57" i="13"/>
  <c r="CP57" i="13"/>
  <c r="CO57" i="13"/>
  <c r="CN57" i="13"/>
  <c r="CA57" i="13" s="1"/>
  <c r="CM57" i="13"/>
  <c r="CL57" i="13"/>
  <c r="BX57" i="13" s="1"/>
  <c r="CK57" i="13"/>
  <c r="CJ57" i="13"/>
  <c r="CF57" i="13"/>
  <c r="CE57" i="13"/>
  <c r="CD57" i="13"/>
  <c r="CC57" i="13"/>
  <c r="CB57" i="13"/>
  <c r="CG57" i="13" s="1"/>
  <c r="BZ57" i="13"/>
  <c r="BY57" i="13"/>
  <c r="BW57" i="13"/>
  <c r="BV57" i="13"/>
  <c r="BU57" i="13"/>
  <c r="BT57" i="13"/>
  <c r="CW56" i="13"/>
  <c r="CV56" i="13"/>
  <c r="CU56" i="13"/>
  <c r="CT56" i="13"/>
  <c r="CS56" i="13"/>
  <c r="CR56" i="13"/>
  <c r="CQ56" i="13"/>
  <c r="CP56" i="13"/>
  <c r="CO56" i="13"/>
  <c r="CA56" i="13" s="1"/>
  <c r="CN56" i="13"/>
  <c r="CM56" i="13"/>
  <c r="CL56" i="13"/>
  <c r="CK56" i="13"/>
  <c r="CJ56" i="13"/>
  <c r="CH56" i="13"/>
  <c r="CF56" i="13"/>
  <c r="CE56" i="13"/>
  <c r="CD56" i="13"/>
  <c r="CC56" i="13"/>
  <c r="CB56" i="13"/>
  <c r="CG56" i="13" s="1"/>
  <c r="BZ56" i="13"/>
  <c r="BY56" i="13"/>
  <c r="BX56" i="13"/>
  <c r="BW56" i="13"/>
  <c r="BV56" i="13"/>
  <c r="BU56" i="13"/>
  <c r="BT56" i="13"/>
  <c r="CW55" i="13"/>
  <c r="CV55" i="13"/>
  <c r="CU55" i="13"/>
  <c r="CT55" i="13"/>
  <c r="CS55" i="13"/>
  <c r="CR55" i="13"/>
  <c r="CQ55" i="13"/>
  <c r="CP55" i="13"/>
  <c r="CO55" i="13"/>
  <c r="CN55" i="13"/>
  <c r="CM55" i="13"/>
  <c r="CL55" i="13"/>
  <c r="CK55" i="13"/>
  <c r="BX55" i="13" s="1"/>
  <c r="CJ55" i="13"/>
  <c r="CF55" i="13"/>
  <c r="CE55" i="13"/>
  <c r="CD55" i="13"/>
  <c r="CC55" i="13"/>
  <c r="CB55" i="13"/>
  <c r="CH55" i="13" s="1"/>
  <c r="CA55" i="13"/>
  <c r="BZ55" i="13"/>
  <c r="BY55" i="13"/>
  <c r="BW55" i="13"/>
  <c r="BV55" i="13"/>
  <c r="BU55" i="13"/>
  <c r="BT55" i="13"/>
  <c r="CW54" i="13"/>
  <c r="CV54" i="13"/>
  <c r="CU54" i="13"/>
  <c r="CT54" i="13"/>
  <c r="CS54" i="13"/>
  <c r="CR54" i="13"/>
  <c r="CQ54" i="13"/>
  <c r="CP54" i="13"/>
  <c r="CO54" i="13"/>
  <c r="CN54" i="13"/>
  <c r="CM54" i="13"/>
  <c r="CL54" i="13"/>
  <c r="CK54" i="13"/>
  <c r="CJ54" i="13"/>
  <c r="CH54" i="13"/>
  <c r="CF54" i="13"/>
  <c r="CE54" i="13"/>
  <c r="CD54" i="13"/>
  <c r="CC54" i="13"/>
  <c r="CB54" i="13"/>
  <c r="CG54" i="13" s="1"/>
  <c r="BZ54" i="13"/>
  <c r="BY54" i="13"/>
  <c r="BX54" i="13"/>
  <c r="BW54" i="13"/>
  <c r="BV54" i="13"/>
  <c r="BU54" i="13"/>
  <c r="BT54" i="13"/>
  <c r="CW52" i="13"/>
  <c r="CV52" i="13"/>
  <c r="CU52" i="13"/>
  <c r="CT52" i="13"/>
  <c r="CS52" i="13"/>
  <c r="CR52" i="13"/>
  <c r="CQ52" i="13"/>
  <c r="CP52" i="13"/>
  <c r="CA52" i="13" s="1"/>
  <c r="CO52" i="13"/>
  <c r="CN52" i="13"/>
  <c r="CM52" i="13"/>
  <c r="CL52" i="13"/>
  <c r="CK52" i="13"/>
  <c r="CJ52" i="13"/>
  <c r="CF52" i="13"/>
  <c r="CE52" i="13"/>
  <c r="CD52" i="13"/>
  <c r="CC52" i="13"/>
  <c r="CB52" i="13"/>
  <c r="CG52" i="13" s="1"/>
  <c r="BZ52" i="13"/>
  <c r="BY52" i="13"/>
  <c r="BW52" i="13"/>
  <c r="BV52" i="13"/>
  <c r="BU52" i="13"/>
  <c r="BT52" i="13"/>
  <c r="CW51" i="13"/>
  <c r="CV51" i="13"/>
  <c r="CU51" i="13"/>
  <c r="CT51" i="13"/>
  <c r="CS51" i="13"/>
  <c r="CR51" i="13"/>
  <c r="CQ51" i="13"/>
  <c r="CP51" i="13"/>
  <c r="CO51" i="13"/>
  <c r="CA51" i="13" s="1"/>
  <c r="CN51" i="13"/>
  <c r="CM51" i="13"/>
  <c r="CL51" i="13"/>
  <c r="CK51" i="13"/>
  <c r="CH51" i="13"/>
  <c r="CG51" i="13"/>
  <c r="CF51" i="13"/>
  <c r="CE51" i="13"/>
  <c r="CD51" i="13"/>
  <c r="CC51" i="13"/>
  <c r="CB51" i="13"/>
  <c r="BZ51" i="13"/>
  <c r="BY51" i="13"/>
  <c r="BW51" i="13"/>
  <c r="BV51" i="13"/>
  <c r="BU51" i="13"/>
  <c r="BT51" i="13"/>
  <c r="CW50" i="13"/>
  <c r="CV50" i="13"/>
  <c r="CU50" i="13"/>
  <c r="CT50" i="13"/>
  <c r="CS50" i="13"/>
  <c r="CR50" i="13"/>
  <c r="CQ50" i="13"/>
  <c r="CP50" i="13"/>
  <c r="CO50" i="13"/>
  <c r="CN50" i="13"/>
  <c r="CM50" i="13"/>
  <c r="CL50" i="13"/>
  <c r="CK50" i="13"/>
  <c r="BX50" i="13" s="1"/>
  <c r="CJ50" i="13"/>
  <c r="CF50" i="13"/>
  <c r="CE50" i="13"/>
  <c r="CD50" i="13"/>
  <c r="CC50" i="13"/>
  <c r="CB50" i="13"/>
  <c r="CH50" i="13" s="1"/>
  <c r="CA50" i="13"/>
  <c r="BZ50" i="13"/>
  <c r="BY50" i="13"/>
  <c r="BW50" i="13"/>
  <c r="BV50" i="13"/>
  <c r="BU50" i="13"/>
  <c r="BT50" i="13"/>
  <c r="CW49" i="13"/>
  <c r="CV49" i="13"/>
  <c r="CU49" i="13"/>
  <c r="CT49" i="13"/>
  <c r="CS49" i="13"/>
  <c r="CR49" i="13"/>
  <c r="CQ49" i="13"/>
  <c r="CP49" i="13"/>
  <c r="CO49" i="13"/>
  <c r="CA49" i="13" s="1"/>
  <c r="CN49" i="13"/>
  <c r="CM49" i="13"/>
  <c r="CL49" i="13"/>
  <c r="CK49" i="13"/>
  <c r="CJ49" i="13"/>
  <c r="CH49" i="13"/>
  <c r="CG49" i="13"/>
  <c r="CF49" i="13"/>
  <c r="CE49" i="13"/>
  <c r="CD49" i="13"/>
  <c r="CC49" i="13"/>
  <c r="CB49" i="13"/>
  <c r="BZ49" i="13"/>
  <c r="BY49" i="13"/>
  <c r="BX49" i="13"/>
  <c r="BW49" i="13"/>
  <c r="BV49" i="13"/>
  <c r="BU49" i="13"/>
  <c r="BT49" i="13"/>
  <c r="CW48" i="13"/>
  <c r="CV48" i="13"/>
  <c r="CU48" i="13"/>
  <c r="CT48" i="13"/>
  <c r="CS48" i="13"/>
  <c r="CR48" i="13"/>
  <c r="CQ48" i="13"/>
  <c r="CP48" i="13"/>
  <c r="CO48" i="13"/>
  <c r="CA48" i="13" s="1"/>
  <c r="CN48" i="13"/>
  <c r="CM48" i="13"/>
  <c r="CL48" i="13"/>
  <c r="BX48" i="13" s="1"/>
  <c r="CK48" i="13"/>
  <c r="CJ48" i="13"/>
  <c r="CF48" i="13"/>
  <c r="CE48" i="13"/>
  <c r="CD48" i="13"/>
  <c r="CC48" i="13"/>
  <c r="CB48" i="13"/>
  <c r="CH48" i="13" s="1"/>
  <c r="BZ48" i="13"/>
  <c r="BY48" i="13"/>
  <c r="BW48" i="13"/>
  <c r="BV48" i="13"/>
  <c r="BU48" i="13"/>
  <c r="BT48" i="13"/>
  <c r="CW47" i="13"/>
  <c r="CV47" i="13"/>
  <c r="CU47" i="13"/>
  <c r="CT47" i="13"/>
  <c r="CS47" i="13"/>
  <c r="CR47" i="13"/>
  <c r="CQ47" i="13"/>
  <c r="CP47" i="13"/>
  <c r="CO47" i="13"/>
  <c r="CN47" i="13"/>
  <c r="CM47" i="13"/>
  <c r="CL47" i="13"/>
  <c r="CK47" i="13"/>
  <c r="BX47" i="13" s="1"/>
  <c r="CJ47" i="13"/>
  <c r="CH47" i="13"/>
  <c r="CF47" i="13"/>
  <c r="CE47" i="13"/>
  <c r="CD47" i="13"/>
  <c r="CC47" i="13"/>
  <c r="CB47" i="13"/>
  <c r="CG47" i="13" s="1"/>
  <c r="CA47" i="13"/>
  <c r="BZ47" i="13"/>
  <c r="BY47" i="13"/>
  <c r="BW47" i="13"/>
  <c r="BV47" i="13"/>
  <c r="BU47" i="13"/>
  <c r="BT47" i="13"/>
  <c r="CW46" i="13"/>
  <c r="CV46" i="13"/>
  <c r="CU46" i="13"/>
  <c r="CT46" i="13"/>
  <c r="CS46" i="13"/>
  <c r="CR46" i="13"/>
  <c r="CQ46" i="13"/>
  <c r="CP46" i="13"/>
  <c r="CO46" i="13"/>
  <c r="CA46" i="13" s="1"/>
  <c r="CN46" i="13"/>
  <c r="CM46" i="13"/>
  <c r="CL46" i="13"/>
  <c r="CK46" i="13"/>
  <c r="CJ46" i="13"/>
  <c r="CH46" i="13"/>
  <c r="CG46" i="13"/>
  <c r="CF46" i="13"/>
  <c r="CE46" i="13"/>
  <c r="CE82" i="13" s="1"/>
  <c r="CD46" i="13"/>
  <c r="CC46" i="13"/>
  <c r="CB46" i="13"/>
  <c r="BZ46" i="13"/>
  <c r="BY46" i="13"/>
  <c r="BX46" i="13"/>
  <c r="BW46" i="13"/>
  <c r="BV46" i="13"/>
  <c r="BU46" i="13"/>
  <c r="BT46" i="13"/>
  <c r="CW39" i="13"/>
  <c r="CV39" i="13"/>
  <c r="CU39" i="13"/>
  <c r="CT39" i="13"/>
  <c r="CS39" i="13"/>
  <c r="CR39" i="13"/>
  <c r="CQ39" i="13"/>
  <c r="CP39" i="13"/>
  <c r="CO39" i="13"/>
  <c r="CN39" i="13"/>
  <c r="CA39" i="13" s="1"/>
  <c r="CM39" i="13"/>
  <c r="CL39" i="13"/>
  <c r="CK39" i="13"/>
  <c r="CF39" i="13"/>
  <c r="CE39" i="13"/>
  <c r="CD39" i="13"/>
  <c r="CC39" i="13"/>
  <c r="CH39" i="13" s="1"/>
  <c r="CB39" i="13"/>
  <c r="CG39" i="13" s="1"/>
  <c r="BZ39" i="13"/>
  <c r="BY39" i="13"/>
  <c r="BW39" i="13"/>
  <c r="BV39" i="13"/>
  <c r="BU39" i="13"/>
  <c r="BT39" i="13"/>
  <c r="CW38" i="13"/>
  <c r="CV38" i="13"/>
  <c r="CU38" i="13"/>
  <c r="CT38" i="13"/>
  <c r="CS38" i="13"/>
  <c r="CR38" i="13"/>
  <c r="CQ38" i="13"/>
  <c r="CP38" i="13"/>
  <c r="CA38" i="13" s="1"/>
  <c r="CO38" i="13"/>
  <c r="CN38" i="13"/>
  <c r="CM38" i="13"/>
  <c r="CL38" i="13"/>
  <c r="CK38" i="13"/>
  <c r="CJ38" i="13"/>
  <c r="CH38" i="13"/>
  <c r="CF38" i="13"/>
  <c r="CE38" i="13"/>
  <c r="CD38" i="13"/>
  <c r="CC38" i="13"/>
  <c r="CB38" i="13"/>
  <c r="CG38" i="13" s="1"/>
  <c r="BZ38" i="13"/>
  <c r="BY38" i="13"/>
  <c r="BX38" i="13"/>
  <c r="BW38" i="13"/>
  <c r="BV38" i="13"/>
  <c r="BU38" i="13"/>
  <c r="BT38" i="13"/>
  <c r="CW37" i="13"/>
  <c r="CV37" i="13"/>
  <c r="CU37" i="13"/>
  <c r="CT37" i="13"/>
  <c r="CS37" i="13"/>
  <c r="CR37" i="13"/>
  <c r="CQ37" i="13"/>
  <c r="CP37" i="13"/>
  <c r="CO37" i="13"/>
  <c r="CA37" i="13" s="1"/>
  <c r="CN37" i="13"/>
  <c r="CM37" i="13"/>
  <c r="CL37" i="13"/>
  <c r="CK37" i="13"/>
  <c r="CJ37" i="13"/>
  <c r="CF37" i="13"/>
  <c r="CE37" i="13"/>
  <c r="CD37" i="13"/>
  <c r="CC37" i="13"/>
  <c r="CB37" i="13"/>
  <c r="CG37" i="13" s="1"/>
  <c r="BZ37" i="13"/>
  <c r="BY37" i="13"/>
  <c r="BX37" i="13"/>
  <c r="BW37" i="13"/>
  <c r="BV37" i="13"/>
  <c r="BU37" i="13"/>
  <c r="BT37" i="13"/>
  <c r="CW36" i="13"/>
  <c r="CV36" i="13"/>
  <c r="CU36" i="13"/>
  <c r="CT36" i="13"/>
  <c r="CS36" i="13"/>
  <c r="CR36" i="13"/>
  <c r="CQ36" i="13"/>
  <c r="CP36" i="13"/>
  <c r="CO36" i="13"/>
  <c r="CN36" i="13"/>
  <c r="CM36" i="13"/>
  <c r="CL36" i="13"/>
  <c r="CK36" i="13"/>
  <c r="BX36" i="13" s="1"/>
  <c r="CJ36" i="13"/>
  <c r="CH36" i="13"/>
  <c r="CF36" i="13"/>
  <c r="CE36" i="13"/>
  <c r="CD36" i="13"/>
  <c r="CC36" i="13"/>
  <c r="CB36" i="13"/>
  <c r="CG36" i="13" s="1"/>
  <c r="CA36" i="13"/>
  <c r="BZ36" i="13"/>
  <c r="BY36" i="13"/>
  <c r="BW36" i="13"/>
  <c r="BV36" i="13"/>
  <c r="BU36" i="13"/>
  <c r="BT36" i="13"/>
  <c r="CW35" i="13"/>
  <c r="CV35" i="13"/>
  <c r="CU35" i="13"/>
  <c r="CT35" i="13"/>
  <c r="CS35" i="13"/>
  <c r="CR35" i="13"/>
  <c r="CQ35" i="13"/>
  <c r="CP35" i="13"/>
  <c r="CO35" i="13"/>
  <c r="CA35" i="13" s="1"/>
  <c r="CN35" i="13"/>
  <c r="CM35" i="13"/>
  <c r="CL35" i="13"/>
  <c r="CK35" i="13"/>
  <c r="CJ35" i="13"/>
  <c r="BX35" i="13" s="1"/>
  <c r="CH35" i="13"/>
  <c r="CG35" i="13"/>
  <c r="CF35" i="13"/>
  <c r="CE35" i="13"/>
  <c r="CD35" i="13"/>
  <c r="CC35" i="13"/>
  <c r="CB35" i="13"/>
  <c r="BZ35" i="13"/>
  <c r="BY35" i="13"/>
  <c r="BW35" i="13"/>
  <c r="BV35" i="13"/>
  <c r="BU35" i="13"/>
  <c r="BT35" i="13"/>
  <c r="CW34" i="13"/>
  <c r="CV34" i="13"/>
  <c r="CU34" i="13"/>
  <c r="CT34" i="13"/>
  <c r="CS34" i="13"/>
  <c r="CR34" i="13"/>
  <c r="CQ34" i="13"/>
  <c r="CP34" i="13"/>
  <c r="CO34" i="13"/>
  <c r="CN34" i="13"/>
  <c r="CM34" i="13"/>
  <c r="CL34" i="13"/>
  <c r="CK34" i="13"/>
  <c r="BX34" i="13" s="1"/>
  <c r="CJ34" i="13"/>
  <c r="CF34" i="13"/>
  <c r="CE34" i="13"/>
  <c r="CD34" i="13"/>
  <c r="CC34" i="13"/>
  <c r="CB34" i="13"/>
  <c r="CG34" i="13" s="1"/>
  <c r="CA34" i="13"/>
  <c r="BZ34" i="13"/>
  <c r="BY34" i="13"/>
  <c r="BW34" i="13"/>
  <c r="BV34" i="13"/>
  <c r="BU34" i="13"/>
  <c r="BT34" i="13"/>
  <c r="CW33" i="13"/>
  <c r="CV33" i="13"/>
  <c r="CU33" i="13"/>
  <c r="CT33" i="13"/>
  <c r="CS33" i="13"/>
  <c r="CR33" i="13"/>
  <c r="CQ33" i="13"/>
  <c r="CP33" i="13"/>
  <c r="CO33" i="13"/>
  <c r="CA33" i="13" s="1"/>
  <c r="CN33" i="13"/>
  <c r="CM33" i="13"/>
  <c r="CL33" i="13"/>
  <c r="CK33" i="13"/>
  <c r="CJ33" i="13"/>
  <c r="CF33" i="13"/>
  <c r="CE33" i="13"/>
  <c r="CD33" i="13"/>
  <c r="CC33" i="13"/>
  <c r="CB33" i="13"/>
  <c r="CH33" i="13" s="1"/>
  <c r="BZ33" i="13"/>
  <c r="BY33" i="13"/>
  <c r="BX33" i="13"/>
  <c r="BW33" i="13"/>
  <c r="BV33" i="13"/>
  <c r="BU33" i="13"/>
  <c r="BT33" i="13"/>
  <c r="CW32" i="13"/>
  <c r="CV32" i="13"/>
  <c r="CU32" i="13"/>
  <c r="CT32" i="13"/>
  <c r="CS32" i="13"/>
  <c r="CR32" i="13"/>
  <c r="CQ32" i="13"/>
  <c r="CP32" i="13"/>
  <c r="CO32" i="13"/>
  <c r="CN32" i="13"/>
  <c r="CM32" i="13"/>
  <c r="CL32" i="13"/>
  <c r="CK32" i="13"/>
  <c r="BX32" i="13" s="1"/>
  <c r="CJ32" i="13"/>
  <c r="CF32" i="13"/>
  <c r="CE32" i="13"/>
  <c r="CD32" i="13"/>
  <c r="CC32" i="13"/>
  <c r="CB32" i="13"/>
  <c r="BZ32" i="13"/>
  <c r="BY32" i="13"/>
  <c r="BW32" i="13"/>
  <c r="BV32" i="13"/>
  <c r="BU32" i="13"/>
  <c r="BT32" i="13"/>
  <c r="CW31" i="13"/>
  <c r="CV31" i="13"/>
  <c r="CU31" i="13"/>
  <c r="CT31" i="13"/>
  <c r="CS31" i="13"/>
  <c r="CR31" i="13"/>
  <c r="CQ31" i="13"/>
  <c r="CP31" i="13"/>
  <c r="CO31" i="13"/>
  <c r="CN31" i="13"/>
  <c r="CA31" i="13" s="1"/>
  <c r="CM31" i="13"/>
  <c r="CL31" i="13"/>
  <c r="CK31" i="13"/>
  <c r="BX31" i="13" s="1"/>
  <c r="CJ31" i="13"/>
  <c r="CG31" i="13"/>
  <c r="CF31" i="13"/>
  <c r="CE31" i="13"/>
  <c r="CD31" i="13"/>
  <c r="CC31" i="13"/>
  <c r="CB31" i="13"/>
  <c r="CH31" i="13" s="1"/>
  <c r="BZ31" i="13"/>
  <c r="BY31" i="13"/>
  <c r="BW31" i="13"/>
  <c r="BV31" i="13"/>
  <c r="BU31" i="13"/>
  <c r="BT31" i="13"/>
  <c r="CW30" i="13"/>
  <c r="CV30" i="13"/>
  <c r="CU30" i="13"/>
  <c r="CT30" i="13"/>
  <c r="CS30" i="13"/>
  <c r="CR30" i="13"/>
  <c r="CQ30" i="13"/>
  <c r="CP30" i="13"/>
  <c r="CO30" i="13"/>
  <c r="CN30" i="13"/>
  <c r="CM30" i="13"/>
  <c r="CL30" i="13"/>
  <c r="CK30" i="13"/>
  <c r="CJ30" i="13"/>
  <c r="CH30" i="13"/>
  <c r="CG30" i="13"/>
  <c r="CF30" i="13"/>
  <c r="CE30" i="13"/>
  <c r="CD30" i="13"/>
  <c r="CC30" i="13"/>
  <c r="CB30" i="13"/>
  <c r="BZ30" i="13"/>
  <c r="BY30" i="13"/>
  <c r="BX30" i="13"/>
  <c r="BW30" i="13"/>
  <c r="BV30" i="13"/>
  <c r="BU30" i="13"/>
  <c r="BT30" i="13"/>
  <c r="CW29" i="13"/>
  <c r="CV29" i="13"/>
  <c r="CU29" i="13"/>
  <c r="CT29" i="13"/>
  <c r="CS29" i="13"/>
  <c r="CR29" i="13"/>
  <c r="CQ29" i="13"/>
  <c r="CP29" i="13"/>
  <c r="CO29" i="13"/>
  <c r="CN29" i="13"/>
  <c r="CA29" i="13" s="1"/>
  <c r="CM29" i="13"/>
  <c r="CL29" i="13"/>
  <c r="CK29" i="13"/>
  <c r="CJ29" i="13"/>
  <c r="CF29" i="13"/>
  <c r="CE29" i="13"/>
  <c r="CD29" i="13"/>
  <c r="CC29" i="13"/>
  <c r="CB29" i="13"/>
  <c r="BZ29" i="13"/>
  <c r="BY29" i="13"/>
  <c r="BW29" i="13"/>
  <c r="BV29" i="13"/>
  <c r="BU29" i="13"/>
  <c r="BT29" i="13"/>
  <c r="CW28" i="13"/>
  <c r="CV28" i="13"/>
  <c r="CU28" i="13"/>
  <c r="CT28" i="13"/>
  <c r="CS28" i="13"/>
  <c r="CR28" i="13"/>
  <c r="CQ28" i="13"/>
  <c r="CP28" i="13"/>
  <c r="CO28" i="13"/>
  <c r="CA28" i="13" s="1"/>
  <c r="CN28" i="13"/>
  <c r="CM28" i="13"/>
  <c r="CL28" i="13"/>
  <c r="CK28" i="13"/>
  <c r="BX28" i="13" s="1"/>
  <c r="CJ28" i="13"/>
  <c r="CH28" i="13"/>
  <c r="CG28" i="13"/>
  <c r="CF28" i="13"/>
  <c r="CE28" i="13"/>
  <c r="CD28" i="13"/>
  <c r="CC28" i="13"/>
  <c r="CB28" i="13"/>
  <c r="BZ28" i="13"/>
  <c r="BY28" i="13"/>
  <c r="BW28" i="13"/>
  <c r="BV28" i="13"/>
  <c r="BU28" i="13"/>
  <c r="BT28" i="13"/>
  <c r="CW27" i="13"/>
  <c r="CV27" i="13"/>
  <c r="CU27" i="13"/>
  <c r="CT27" i="13"/>
  <c r="CS27" i="13"/>
  <c r="CR27" i="13"/>
  <c r="CQ27" i="13"/>
  <c r="CP27" i="13"/>
  <c r="CO27" i="13"/>
  <c r="CN27" i="13"/>
  <c r="CM27" i="13"/>
  <c r="CL27" i="13"/>
  <c r="CK27" i="13"/>
  <c r="BX27" i="13" s="1"/>
  <c r="CJ27" i="13"/>
  <c r="CG27" i="13"/>
  <c r="CF27" i="13"/>
  <c r="CE27" i="13"/>
  <c r="CD27" i="13"/>
  <c r="CC27" i="13"/>
  <c r="CB27" i="13"/>
  <c r="CH27" i="13" s="1"/>
  <c r="CA27" i="13"/>
  <c r="BZ27" i="13"/>
  <c r="BY27" i="13"/>
  <c r="BW27" i="13"/>
  <c r="BV27" i="13"/>
  <c r="BU27" i="13"/>
  <c r="BT27" i="13"/>
  <c r="CW26" i="13"/>
  <c r="CV26" i="13"/>
  <c r="CU26" i="13"/>
  <c r="CT26" i="13"/>
  <c r="CS26" i="13"/>
  <c r="CR26" i="13"/>
  <c r="CQ26" i="13"/>
  <c r="CP26" i="13"/>
  <c r="CO26" i="13"/>
  <c r="CN26" i="13"/>
  <c r="CM26" i="13"/>
  <c r="CL26" i="13"/>
  <c r="CK26" i="13"/>
  <c r="CJ26" i="13"/>
  <c r="CH26" i="13"/>
  <c r="CF26" i="13"/>
  <c r="CE26" i="13"/>
  <c r="CD26" i="13"/>
  <c r="CC26" i="13"/>
  <c r="CB26" i="13"/>
  <c r="CG26" i="13" s="1"/>
  <c r="CA26" i="13"/>
  <c r="BZ26" i="13"/>
  <c r="BY26" i="13"/>
  <c r="BX26" i="13"/>
  <c r="BW26" i="13"/>
  <c r="BV26" i="13"/>
  <c r="BU26" i="13"/>
  <c r="BT26" i="13"/>
  <c r="CW25" i="13"/>
  <c r="CV25" i="13"/>
  <c r="CU25" i="13"/>
  <c r="CT25" i="13"/>
  <c r="CS25" i="13"/>
  <c r="CR25" i="13"/>
  <c r="CQ25" i="13"/>
  <c r="CP25" i="13"/>
  <c r="CO25" i="13"/>
  <c r="CA25" i="13" s="1"/>
  <c r="CN25" i="13"/>
  <c r="CM25" i="13"/>
  <c r="CL25" i="13"/>
  <c r="CK25" i="13"/>
  <c r="CJ25" i="13"/>
  <c r="CH25" i="13"/>
  <c r="CG25" i="13"/>
  <c r="CF25" i="13"/>
  <c r="CE25" i="13"/>
  <c r="CD25" i="13"/>
  <c r="CC25" i="13"/>
  <c r="CB25" i="13"/>
  <c r="BZ25" i="13"/>
  <c r="BY25" i="13"/>
  <c r="BX25" i="13"/>
  <c r="BW25" i="13"/>
  <c r="BV25" i="13"/>
  <c r="BU25" i="13"/>
  <c r="BT25" i="13"/>
  <c r="CW24" i="13"/>
  <c r="CV24" i="13"/>
  <c r="CU24" i="13"/>
  <c r="CT24" i="13"/>
  <c r="CS24" i="13"/>
  <c r="CR24" i="13"/>
  <c r="CQ24" i="13"/>
  <c r="CP24" i="13"/>
  <c r="CO24" i="13"/>
  <c r="CN24" i="13"/>
  <c r="CA24" i="13" s="1"/>
  <c r="CM24" i="13"/>
  <c r="CL24" i="13"/>
  <c r="CK24" i="13"/>
  <c r="BX24" i="13" s="1"/>
  <c r="CJ24" i="13"/>
  <c r="CF24" i="13"/>
  <c r="CE24" i="13"/>
  <c r="CD24" i="13"/>
  <c r="CC24" i="13"/>
  <c r="CB24" i="13"/>
  <c r="CG24" i="13" s="1"/>
  <c r="BZ24" i="13"/>
  <c r="BY24" i="13"/>
  <c r="BW24" i="13"/>
  <c r="BV24" i="13"/>
  <c r="BU24" i="13"/>
  <c r="BT24" i="13"/>
  <c r="CW23" i="13"/>
  <c r="CV23" i="13"/>
  <c r="CU23" i="13"/>
  <c r="CT23" i="13"/>
  <c r="CS23" i="13"/>
  <c r="CR23" i="13"/>
  <c r="CQ23" i="13"/>
  <c r="CP23" i="13"/>
  <c r="CO23" i="13"/>
  <c r="CA23" i="13" s="1"/>
  <c r="CN23" i="13"/>
  <c r="CM23" i="13"/>
  <c r="CL23" i="13"/>
  <c r="CK23" i="13"/>
  <c r="BX23" i="13" s="1"/>
  <c r="CJ23" i="13"/>
  <c r="CH23" i="13"/>
  <c r="CG23" i="13"/>
  <c r="CF23" i="13"/>
  <c r="CE23" i="13"/>
  <c r="CD23" i="13"/>
  <c r="CC23" i="13"/>
  <c r="CB23" i="13"/>
  <c r="BZ23" i="13"/>
  <c r="BY23" i="13"/>
  <c r="BW23" i="13"/>
  <c r="BV23" i="13"/>
  <c r="BU23" i="13"/>
  <c r="BT23" i="13"/>
  <c r="CW22" i="13"/>
  <c r="CV22" i="13"/>
  <c r="CU22" i="13"/>
  <c r="CT22" i="13"/>
  <c r="CS22" i="13"/>
  <c r="CR22" i="13"/>
  <c r="CQ22" i="13"/>
  <c r="CP22" i="13"/>
  <c r="CO22" i="13"/>
  <c r="CA22" i="13" s="1"/>
  <c r="CN22" i="13"/>
  <c r="CM22" i="13"/>
  <c r="CL22" i="13"/>
  <c r="BX22" i="13" s="1"/>
  <c r="CK22" i="13"/>
  <c r="CJ22" i="13"/>
  <c r="CG22" i="13"/>
  <c r="CF22" i="13"/>
  <c r="CE22" i="13"/>
  <c r="CD22" i="13"/>
  <c r="CC22" i="13"/>
  <c r="CB22" i="13"/>
  <c r="CH22" i="13" s="1"/>
  <c r="BZ22" i="13"/>
  <c r="BY22" i="13"/>
  <c r="BW22" i="13"/>
  <c r="BV22" i="13"/>
  <c r="BU22" i="13"/>
  <c r="BT22" i="13"/>
  <c r="CW21" i="13"/>
  <c r="CV21" i="13"/>
  <c r="CU21" i="13"/>
  <c r="CT21" i="13"/>
  <c r="CS21" i="13"/>
  <c r="CR21" i="13"/>
  <c r="CQ21" i="13"/>
  <c r="CP21" i="13"/>
  <c r="CO21" i="13"/>
  <c r="CN21" i="13"/>
  <c r="CM21" i="13"/>
  <c r="CL21" i="13"/>
  <c r="CK21" i="13"/>
  <c r="CJ21" i="13"/>
  <c r="BX21" i="13" s="1"/>
  <c r="CF21" i="13"/>
  <c r="CE21" i="13"/>
  <c r="CD21" i="13"/>
  <c r="CC21" i="13"/>
  <c r="CB21" i="13"/>
  <c r="CG21" i="13" s="1"/>
  <c r="CA21" i="13"/>
  <c r="BZ21" i="13"/>
  <c r="BY21" i="13"/>
  <c r="BW21" i="13"/>
  <c r="BV21" i="13"/>
  <c r="BU21" i="13"/>
  <c r="BT21" i="13"/>
  <c r="CW20" i="13"/>
  <c r="CV20" i="13"/>
  <c r="CU20" i="13"/>
  <c r="CT20" i="13"/>
  <c r="CS20" i="13"/>
  <c r="CR20" i="13"/>
  <c r="CQ20" i="13"/>
  <c r="CP20" i="13"/>
  <c r="CO20" i="13"/>
  <c r="CA20" i="13" s="1"/>
  <c r="CN20" i="13"/>
  <c r="CM20" i="13"/>
  <c r="CL20" i="13"/>
  <c r="CK20" i="13"/>
  <c r="CJ20" i="13"/>
  <c r="CF20" i="13"/>
  <c r="CE20" i="13"/>
  <c r="CD20" i="13"/>
  <c r="CC20" i="13"/>
  <c r="CB20" i="13"/>
  <c r="CH20" i="13" s="1"/>
  <c r="BZ20" i="13"/>
  <c r="BY20" i="13"/>
  <c r="BX20" i="13"/>
  <c r="BW20" i="13"/>
  <c r="BV20" i="13"/>
  <c r="BU20" i="13"/>
  <c r="BT20" i="13"/>
  <c r="CW19" i="13"/>
  <c r="CV19" i="13"/>
  <c r="CU19" i="13"/>
  <c r="CT19" i="13"/>
  <c r="CS19" i="13"/>
  <c r="CR19" i="13"/>
  <c r="CQ19" i="13"/>
  <c r="CP19" i="13"/>
  <c r="CO19" i="13"/>
  <c r="CN19" i="13"/>
  <c r="CM19" i="13"/>
  <c r="CL19" i="13"/>
  <c r="CK19" i="13"/>
  <c r="CJ19" i="13"/>
  <c r="BX19" i="13" s="1"/>
  <c r="CF19" i="13"/>
  <c r="CE19" i="13"/>
  <c r="CD19" i="13"/>
  <c r="CC19" i="13"/>
  <c r="CB19" i="13"/>
  <c r="CG19" i="13" s="1"/>
  <c r="BZ19" i="13"/>
  <c r="BY19" i="13"/>
  <c r="BW19" i="13"/>
  <c r="BV19" i="13"/>
  <c r="BU19" i="13"/>
  <c r="BT19" i="13"/>
  <c r="CW18" i="13"/>
  <c r="CV18" i="13"/>
  <c r="CU18" i="13"/>
  <c r="CT18" i="13"/>
  <c r="CS18" i="13"/>
  <c r="CR18" i="13"/>
  <c r="CQ18" i="13"/>
  <c r="CP18" i="13"/>
  <c r="CA18" i="13" s="1"/>
  <c r="CO18" i="13"/>
  <c r="CN18" i="13"/>
  <c r="CM18" i="13"/>
  <c r="CL18" i="13"/>
  <c r="CK18" i="13"/>
  <c r="CJ18" i="13"/>
  <c r="CH18" i="13"/>
  <c r="CF18" i="13"/>
  <c r="CE18" i="13"/>
  <c r="CD18" i="13"/>
  <c r="CC18" i="13"/>
  <c r="CB18" i="13"/>
  <c r="CG18" i="13" s="1"/>
  <c r="BZ18" i="13"/>
  <c r="BY18" i="13"/>
  <c r="BW18" i="13"/>
  <c r="BV18" i="13"/>
  <c r="BU18" i="13"/>
  <c r="BT18" i="13"/>
  <c r="CW17" i="13"/>
  <c r="CV17" i="13"/>
  <c r="CU17" i="13"/>
  <c r="CT17" i="13"/>
  <c r="CS17" i="13"/>
  <c r="CR17" i="13"/>
  <c r="CQ17" i="13"/>
  <c r="CP17" i="13"/>
  <c r="CO17" i="13"/>
  <c r="CN17" i="13"/>
  <c r="CM17" i="13"/>
  <c r="CL17" i="13"/>
  <c r="CK17" i="13"/>
  <c r="CJ17" i="13"/>
  <c r="BX17" i="13" s="1"/>
  <c r="CF17" i="13"/>
  <c r="CE17" i="13"/>
  <c r="CD17" i="13"/>
  <c r="CC17" i="13"/>
  <c r="CB17" i="13"/>
  <c r="CH17" i="13" s="1"/>
  <c r="CA17" i="13"/>
  <c r="BZ17" i="13"/>
  <c r="BY17" i="13"/>
  <c r="BW17" i="13"/>
  <c r="BV17" i="13"/>
  <c r="BU17" i="13"/>
  <c r="BT17" i="13"/>
  <c r="CW16" i="13"/>
  <c r="CV16" i="13"/>
  <c r="CU16" i="13"/>
  <c r="CT16" i="13"/>
  <c r="CS16" i="13"/>
  <c r="CR16" i="13"/>
  <c r="CQ16" i="13"/>
  <c r="CP16" i="13"/>
  <c r="CO16" i="13"/>
  <c r="CN16" i="13"/>
  <c r="CM16" i="13"/>
  <c r="CL16" i="13"/>
  <c r="CK16" i="13"/>
  <c r="CJ16" i="13"/>
  <c r="CF16" i="13"/>
  <c r="CE16" i="13"/>
  <c r="CD16" i="13"/>
  <c r="CC16" i="13"/>
  <c r="CB16" i="13"/>
  <c r="BZ16" i="13"/>
  <c r="BY16" i="13"/>
  <c r="BX16" i="13"/>
  <c r="BW16" i="13"/>
  <c r="BV16" i="13"/>
  <c r="BU16" i="13"/>
  <c r="BT16" i="13"/>
  <c r="CW15" i="13"/>
  <c r="CV15" i="13"/>
  <c r="CU15" i="13"/>
  <c r="CT15" i="13"/>
  <c r="CS15" i="13"/>
  <c r="CR15" i="13"/>
  <c r="CQ15" i="13"/>
  <c r="CP15" i="13"/>
  <c r="CO15" i="13"/>
  <c r="CN15" i="13"/>
  <c r="CM15" i="13"/>
  <c r="CL15" i="13"/>
  <c r="CK15" i="13"/>
  <c r="CJ15" i="13"/>
  <c r="CH15" i="13"/>
  <c r="CG15" i="13"/>
  <c r="CF15" i="13"/>
  <c r="CE15" i="13"/>
  <c r="CD15" i="13"/>
  <c r="CC15" i="13"/>
  <c r="CB15" i="13"/>
  <c r="CA15" i="13"/>
  <c r="BZ15" i="13"/>
  <c r="BY15" i="13"/>
  <c r="BW15" i="13"/>
  <c r="BV15" i="13"/>
  <c r="BU15" i="13"/>
  <c r="BT15" i="13"/>
  <c r="CW14" i="13"/>
  <c r="CV14" i="13"/>
  <c r="CU14" i="13"/>
  <c r="CT14" i="13"/>
  <c r="CS14" i="13"/>
  <c r="CR14" i="13"/>
  <c r="CQ14" i="13"/>
  <c r="CP14" i="13"/>
  <c r="CO14" i="13"/>
  <c r="CN14" i="13"/>
  <c r="CM14" i="13"/>
  <c r="CL14" i="13"/>
  <c r="CK14" i="13"/>
  <c r="BX14" i="13" s="1"/>
  <c r="CJ14" i="13"/>
  <c r="CG14" i="13"/>
  <c r="CF14" i="13"/>
  <c r="CE14" i="13"/>
  <c r="CD14" i="13"/>
  <c r="CC14" i="13"/>
  <c r="CH14" i="13" s="1"/>
  <c r="CB14" i="13"/>
  <c r="BZ14" i="13"/>
  <c r="BY14" i="13"/>
  <c r="BW14" i="13"/>
  <c r="BV14" i="13"/>
  <c r="BU14" i="13"/>
  <c r="BT14" i="13"/>
  <c r="CW13" i="13"/>
  <c r="CV13" i="13"/>
  <c r="CU13" i="13"/>
  <c r="CT13" i="13"/>
  <c r="CS13" i="13"/>
  <c r="CR13" i="13"/>
  <c r="CQ13" i="13"/>
  <c r="CP13" i="13"/>
  <c r="CO13" i="13"/>
  <c r="CN13" i="13"/>
  <c r="CM13" i="13"/>
  <c r="CL13" i="13"/>
  <c r="CK13" i="13"/>
  <c r="CJ13" i="13"/>
  <c r="CG13" i="13"/>
  <c r="CF13" i="13"/>
  <c r="CE13" i="13"/>
  <c r="CD13" i="13"/>
  <c r="CC13" i="13"/>
  <c r="CB13" i="13"/>
  <c r="CH13" i="13" s="1"/>
  <c r="CA13" i="13"/>
  <c r="BZ13" i="13"/>
  <c r="BY13" i="13"/>
  <c r="BW13" i="13"/>
  <c r="BV13" i="13"/>
  <c r="BU13" i="13"/>
  <c r="BT13" i="13"/>
  <c r="CW12" i="13"/>
  <c r="CV12" i="13"/>
  <c r="CU12" i="13"/>
  <c r="CT12" i="13"/>
  <c r="CS12" i="13"/>
  <c r="CR12" i="13"/>
  <c r="CQ12" i="13"/>
  <c r="CP12" i="13"/>
  <c r="CO12" i="13"/>
  <c r="CA12" i="13" s="1"/>
  <c r="CN12" i="13"/>
  <c r="CM12" i="13"/>
  <c r="CL12" i="13"/>
  <c r="CK12" i="13"/>
  <c r="BX12" i="13" s="1"/>
  <c r="CJ12" i="13"/>
  <c r="CF12" i="13"/>
  <c r="CE12" i="13"/>
  <c r="CD12" i="13"/>
  <c r="CC12" i="13"/>
  <c r="CB12" i="13"/>
  <c r="CH12" i="13" s="1"/>
  <c r="BZ12" i="13"/>
  <c r="BY12" i="13"/>
  <c r="BW12" i="13"/>
  <c r="BV12" i="13"/>
  <c r="BU12" i="13"/>
  <c r="BT12" i="13"/>
  <c r="CW11" i="13"/>
  <c r="CV11" i="13"/>
  <c r="CU11" i="13"/>
  <c r="CT11" i="13"/>
  <c r="CS11" i="13"/>
  <c r="CR11" i="13"/>
  <c r="CQ11" i="13"/>
  <c r="CP11" i="13"/>
  <c r="CO11" i="13"/>
  <c r="CA11" i="13" s="1"/>
  <c r="CN11" i="13"/>
  <c r="CM11" i="13"/>
  <c r="CL11" i="13"/>
  <c r="CK11" i="13"/>
  <c r="BX11" i="13" s="1"/>
  <c r="CJ11" i="13"/>
  <c r="CG11" i="13"/>
  <c r="CF11" i="13"/>
  <c r="CE11" i="13"/>
  <c r="CD11" i="13"/>
  <c r="CC11" i="13"/>
  <c r="CB11" i="13"/>
  <c r="CH11" i="13" s="1"/>
  <c r="BZ11" i="13"/>
  <c r="BY11" i="13"/>
  <c r="BW11" i="13"/>
  <c r="BV11" i="13"/>
  <c r="BU11" i="13"/>
  <c r="BT11" i="13"/>
  <c r="CW10" i="13"/>
  <c r="CV10" i="13"/>
  <c r="CU10" i="13"/>
  <c r="CT10" i="13"/>
  <c r="CS10" i="13"/>
  <c r="CR10" i="13"/>
  <c r="CQ10" i="13"/>
  <c r="CP10" i="13"/>
  <c r="CO10" i="13"/>
  <c r="CN10" i="13"/>
  <c r="CM10" i="13"/>
  <c r="CL10" i="13"/>
  <c r="CK10" i="13"/>
  <c r="CF10" i="13"/>
  <c r="CE10" i="13"/>
  <c r="CD10" i="13"/>
  <c r="CC10" i="13"/>
  <c r="CB10" i="13"/>
  <c r="CH10" i="13" s="1"/>
  <c r="CA10" i="13"/>
  <c r="BZ10" i="13"/>
  <c r="BY10" i="13"/>
  <c r="BW10" i="13"/>
  <c r="BV10" i="13"/>
  <c r="BU10" i="13"/>
  <c r="BT10" i="13"/>
  <c r="CW9" i="13"/>
  <c r="CV9" i="13"/>
  <c r="CU9" i="13"/>
  <c r="CT9" i="13"/>
  <c r="CS9" i="13"/>
  <c r="CR9" i="13"/>
  <c r="CQ9" i="13"/>
  <c r="CP9" i="13"/>
  <c r="CO9" i="13"/>
  <c r="CA9" i="13" s="1"/>
  <c r="CN9" i="13"/>
  <c r="CM9" i="13"/>
  <c r="CL9" i="13"/>
  <c r="CK9" i="13"/>
  <c r="CJ9" i="13"/>
  <c r="CG9" i="13"/>
  <c r="CF9" i="13"/>
  <c r="CE9" i="13"/>
  <c r="CD9" i="13"/>
  <c r="CC9" i="13"/>
  <c r="CB9" i="13"/>
  <c r="CH9" i="13" s="1"/>
  <c r="BZ9" i="13"/>
  <c r="BY9" i="13"/>
  <c r="BX9" i="13"/>
  <c r="BW9" i="13"/>
  <c r="BV9" i="13"/>
  <c r="BU9" i="13"/>
  <c r="BT9" i="13"/>
  <c r="CW8" i="13"/>
  <c r="CV8" i="13"/>
  <c r="CU8" i="13"/>
  <c r="CT8" i="13"/>
  <c r="CS8" i="13"/>
  <c r="CR8" i="13"/>
  <c r="CQ8" i="13"/>
  <c r="CP8" i="13"/>
  <c r="CO8" i="13"/>
  <c r="CN8" i="13"/>
  <c r="CM8" i="13"/>
  <c r="CL8" i="13"/>
  <c r="CK8" i="13"/>
  <c r="BX8" i="13" s="1"/>
  <c r="CJ8" i="13"/>
  <c r="CF8" i="13"/>
  <c r="CE8" i="13"/>
  <c r="CD8" i="13"/>
  <c r="CC8" i="13"/>
  <c r="CB8" i="13"/>
  <c r="CG8" i="13" s="1"/>
  <c r="CA8" i="13"/>
  <c r="BZ8" i="13"/>
  <c r="BY8" i="13"/>
  <c r="BW8" i="13"/>
  <c r="BV8" i="13"/>
  <c r="BU8" i="13"/>
  <c r="BT8" i="13"/>
  <c r="CW7" i="13"/>
  <c r="CV7" i="13"/>
  <c r="CU7" i="13"/>
  <c r="CT7" i="13"/>
  <c r="CS7" i="13"/>
  <c r="CR7" i="13"/>
  <c r="CQ7" i="13"/>
  <c r="CP7" i="13"/>
  <c r="CO7" i="13"/>
  <c r="CA7" i="13" s="1"/>
  <c r="CN7" i="13"/>
  <c r="CM7" i="13"/>
  <c r="CL7" i="13"/>
  <c r="CK7" i="13"/>
  <c r="CJ7" i="13"/>
  <c r="CH7" i="13"/>
  <c r="CG7" i="13"/>
  <c r="CF7" i="13"/>
  <c r="CE7" i="13"/>
  <c r="CE40" i="13" s="1"/>
  <c r="CD7" i="13"/>
  <c r="CC7" i="13"/>
  <c r="CB7" i="13"/>
  <c r="BZ7" i="13"/>
  <c r="BY7" i="13"/>
  <c r="BX7" i="13"/>
  <c r="BW7" i="13"/>
  <c r="BV7" i="13"/>
  <c r="BU7" i="13"/>
  <c r="BT7" i="13"/>
  <c r="CW6" i="13"/>
  <c r="CV6" i="13"/>
  <c r="CU6" i="13"/>
  <c r="CT6" i="13"/>
  <c r="CS6" i="13"/>
  <c r="CR6" i="13"/>
  <c r="CQ6" i="13"/>
  <c r="CP6" i="13"/>
  <c r="CO6" i="13"/>
  <c r="CN6" i="13"/>
  <c r="CM6" i="13"/>
  <c r="CL6" i="13"/>
  <c r="BX6" i="13" s="1"/>
  <c r="CK6" i="13"/>
  <c r="CJ6" i="13"/>
  <c r="CF6" i="13"/>
  <c r="CE6" i="13"/>
  <c r="CE42" i="13" s="1"/>
  <c r="CE43" i="13" s="1"/>
  <c r="CD6" i="13"/>
  <c r="CD42" i="13" s="1"/>
  <c r="CC6" i="13"/>
  <c r="CB6" i="13"/>
  <c r="BZ6" i="13"/>
  <c r="BY6" i="13"/>
  <c r="BW6" i="13"/>
  <c r="BV6" i="13"/>
  <c r="BU6" i="13"/>
  <c r="BT6" i="13"/>
  <c r="CW5" i="13"/>
  <c r="CV5" i="13"/>
  <c r="CU5" i="13"/>
  <c r="CT5" i="13"/>
  <c r="CS5" i="13"/>
  <c r="CR5" i="13"/>
  <c r="CQ5" i="13"/>
  <c r="CP5" i="13"/>
  <c r="CO5" i="13"/>
  <c r="CN5" i="13"/>
  <c r="CA5" i="13" s="1"/>
  <c r="CM5" i="13"/>
  <c r="CL5" i="13"/>
  <c r="CK5" i="13"/>
  <c r="CJ5" i="13"/>
  <c r="CF5" i="13"/>
  <c r="CE5" i="13"/>
  <c r="CD5" i="13"/>
  <c r="CC5" i="13"/>
  <c r="CB5" i="13"/>
  <c r="CH5" i="13" s="1"/>
  <c r="BZ5" i="13"/>
  <c r="BY5" i="13"/>
  <c r="BW5" i="13"/>
  <c r="BV5" i="13"/>
  <c r="BU5" i="13"/>
  <c r="BT5" i="13"/>
  <c r="CH171" i="13" l="1"/>
  <c r="CH173" i="13"/>
  <c r="CH174" i="13" s="1"/>
  <c r="CH172" i="13"/>
  <c r="CA83" i="13"/>
  <c r="CA82" i="13"/>
  <c r="BX83" i="13"/>
  <c r="BX225" i="13"/>
  <c r="BX171" i="13"/>
  <c r="CH19" i="13"/>
  <c r="CH24" i="13"/>
  <c r="BX29" i="13"/>
  <c r="CA30" i="13"/>
  <c r="CD82" i="13"/>
  <c r="BX52" i="13"/>
  <c r="BX84" i="13" s="1"/>
  <c r="BX85" i="13" s="1"/>
  <c r="CA54" i="13"/>
  <c r="CA84" i="13" s="1"/>
  <c r="CA85" i="13" s="1"/>
  <c r="CH57" i="13"/>
  <c r="CH67" i="13"/>
  <c r="CD84" i="13"/>
  <c r="CD85" i="13" s="1"/>
  <c r="CH90" i="13"/>
  <c r="CH131" i="13" s="1"/>
  <c r="BX107" i="13"/>
  <c r="CH125" i="13"/>
  <c r="BX130" i="13"/>
  <c r="CH150" i="13"/>
  <c r="CG150" i="13"/>
  <c r="CH151" i="13"/>
  <c r="CH169" i="13"/>
  <c r="CG183" i="13"/>
  <c r="CH203" i="13"/>
  <c r="CG203" i="13"/>
  <c r="CH204" i="13"/>
  <c r="CH222" i="13"/>
  <c r="CE261" i="13"/>
  <c r="CE260" i="13"/>
  <c r="CH235" i="13"/>
  <c r="CH261" i="13" s="1"/>
  <c r="BX261" i="13"/>
  <c r="CE308" i="13"/>
  <c r="CE309" i="13" s="1"/>
  <c r="CD342" i="13"/>
  <c r="CD341" i="13"/>
  <c r="CD343" i="13"/>
  <c r="CD344" i="13" s="1"/>
  <c r="CA314" i="13"/>
  <c r="CA342" i="13" s="1"/>
  <c r="CG316" i="13"/>
  <c r="CH335" i="13"/>
  <c r="CG335" i="13"/>
  <c r="CE84" i="13"/>
  <c r="CE85" i="13" s="1"/>
  <c r="CH128" i="13"/>
  <c r="BX141" i="13"/>
  <c r="BX172" i="13" s="1"/>
  <c r="BX162" i="13"/>
  <c r="CE341" i="13"/>
  <c r="CE343" i="13"/>
  <c r="CE344" i="13" s="1"/>
  <c r="BX342" i="13"/>
  <c r="CA16" i="13"/>
  <c r="BX67" i="13"/>
  <c r="CH105" i="13"/>
  <c r="CG105" i="13"/>
  <c r="CE172" i="13"/>
  <c r="CA190" i="13"/>
  <c r="CA225" i="13" s="1"/>
  <c r="CD261" i="13"/>
  <c r="BX308" i="13"/>
  <c r="BX307" i="13"/>
  <c r="CH267" i="13"/>
  <c r="CH306" i="13" s="1"/>
  <c r="CH291" i="13"/>
  <c r="BX296" i="13"/>
  <c r="CF343" i="13"/>
  <c r="BX316" i="13"/>
  <c r="CA94" i="13"/>
  <c r="CA131" i="13" s="1"/>
  <c r="BX183" i="13"/>
  <c r="BX223" i="13" s="1"/>
  <c r="CA201" i="13"/>
  <c r="CA258" i="13"/>
  <c r="CA269" i="13"/>
  <c r="CA308" i="13" s="1"/>
  <c r="CD40" i="13"/>
  <c r="CD43" i="13" s="1"/>
  <c r="BX78" i="13"/>
  <c r="CA79" i="13"/>
  <c r="CA148" i="13"/>
  <c r="BX157" i="13"/>
  <c r="CH181" i="13"/>
  <c r="CH225" i="13" s="1"/>
  <c r="BX262" i="13"/>
  <c r="BX82" i="13"/>
  <c r="CA120" i="13"/>
  <c r="BX173" i="13"/>
  <c r="BX174" i="13" s="1"/>
  <c r="CE223" i="13"/>
  <c r="CE226" i="13" s="1"/>
  <c r="CG295" i="13"/>
  <c r="CG304" i="13"/>
  <c r="CG315" i="13"/>
  <c r="CG323" i="13"/>
  <c r="CG10" i="13"/>
  <c r="BX18" i="13"/>
  <c r="CA19" i="13"/>
  <c r="CA32" i="13"/>
  <c r="CG55" i="13"/>
  <c r="CH69" i="13"/>
  <c r="CH83" i="13" s="1"/>
  <c r="CG71" i="13"/>
  <c r="CG77" i="13"/>
  <c r="CA103" i="13"/>
  <c r="CA132" i="13" s="1"/>
  <c r="BX133" i="13"/>
  <c r="CG146" i="13"/>
  <c r="CG156" i="13"/>
  <c r="BX168" i="13"/>
  <c r="CA169" i="13"/>
  <c r="BX203" i="13"/>
  <c r="CA204" i="13"/>
  <c r="CG210" i="13"/>
  <c r="CG237" i="13"/>
  <c r="CG246" i="13"/>
  <c r="CD262" i="13"/>
  <c r="CD263" i="13" s="1"/>
  <c r="CH271" i="13"/>
  <c r="CG283" i="13"/>
  <c r="CG308" i="13" s="1"/>
  <c r="CG309" i="13" s="1"/>
  <c r="CH318" i="13"/>
  <c r="CH341" i="13" s="1"/>
  <c r="CG327" i="13"/>
  <c r="BX335" i="13"/>
  <c r="BX341" i="13" s="1"/>
  <c r="CA336" i="13"/>
  <c r="CG50" i="13"/>
  <c r="CG92" i="13"/>
  <c r="CH115" i="13"/>
  <c r="CG139" i="13"/>
  <c r="CG171" i="13" s="1"/>
  <c r="CH185" i="13"/>
  <c r="CG191" i="13"/>
  <c r="CG194" i="13"/>
  <c r="CG198" i="13"/>
  <c r="CH206" i="13"/>
  <c r="CG241" i="13"/>
  <c r="CG261" i="13" s="1"/>
  <c r="CE262" i="13"/>
  <c r="CE263" i="13" s="1"/>
  <c r="CD306" i="13"/>
  <c r="CD309" i="13" s="1"/>
  <c r="CG330" i="13"/>
  <c r="CG343" i="13" s="1"/>
  <c r="CG344" i="13" s="1"/>
  <c r="BX15" i="13"/>
  <c r="CH16" i="13"/>
  <c r="CG16" i="13"/>
  <c r="CG17" i="13"/>
  <c r="CH34" i="13"/>
  <c r="CG65" i="13"/>
  <c r="CD133" i="13"/>
  <c r="CD134" i="13" s="1"/>
  <c r="CD173" i="13"/>
  <c r="CD172" i="13"/>
  <c r="CG159" i="13"/>
  <c r="CG164" i="13"/>
  <c r="CD224" i="13"/>
  <c r="CD223" i="13"/>
  <c r="CG178" i="13"/>
  <c r="CG223" i="13" s="1"/>
  <c r="CA192" i="13"/>
  <c r="CA224" i="13" s="1"/>
  <c r="BX224" i="13"/>
  <c r="CA238" i="13"/>
  <c r="BX246" i="13"/>
  <c r="CH254" i="13"/>
  <c r="CG286" i="13"/>
  <c r="BX304" i="13"/>
  <c r="CE306" i="13"/>
  <c r="CD41" i="13"/>
  <c r="CH21" i="13"/>
  <c r="CH29" i="13"/>
  <c r="CE41" i="13"/>
  <c r="CH94" i="13"/>
  <c r="CH133" i="13" s="1"/>
  <c r="CH134" i="13" s="1"/>
  <c r="CG94" i="13"/>
  <c r="CG131" i="13" s="1"/>
  <c r="BX115" i="13"/>
  <c r="CH122" i="13"/>
  <c r="CH132" i="13" s="1"/>
  <c r="CH130" i="13"/>
  <c r="CE133" i="13"/>
  <c r="CE134" i="13" s="1"/>
  <c r="CE173" i="13"/>
  <c r="CE174" i="13" s="1"/>
  <c r="BX139" i="13"/>
  <c r="CA140" i="13"/>
  <c r="CA171" i="13" s="1"/>
  <c r="CA161" i="13"/>
  <c r="CG181" i="13"/>
  <c r="CH201" i="13"/>
  <c r="CE224" i="13"/>
  <c r="BX237" i="13"/>
  <c r="BX267" i="13"/>
  <c r="BX306" i="13" s="1"/>
  <c r="BX283" i="13"/>
  <c r="BX291" i="13"/>
  <c r="CA292" i="13"/>
  <c r="CG334" i="13"/>
  <c r="CG342" i="13" s="1"/>
  <c r="CH6" i="13"/>
  <c r="CG6" i="13"/>
  <c r="BX191" i="13"/>
  <c r="CH281" i="13"/>
  <c r="CA331" i="13"/>
  <c r="CA341" i="13" s="1"/>
  <c r="CD83" i="13"/>
  <c r="CD307" i="13"/>
  <c r="BX13" i="13"/>
  <c r="CA14" i="13"/>
  <c r="CG20" i="13"/>
  <c r="CH32" i="13"/>
  <c r="CH42" i="13" s="1"/>
  <c r="CG32" i="13"/>
  <c r="CG33" i="13"/>
  <c r="CG58" i="13"/>
  <c r="CG83" i="13" s="1"/>
  <c r="CG64" i="13"/>
  <c r="CE83" i="13"/>
  <c r="CG91" i="13"/>
  <c r="CG133" i="13" s="1"/>
  <c r="CG134" i="13" s="1"/>
  <c r="CH99" i="13"/>
  <c r="CA105" i="13"/>
  <c r="BX111" i="13"/>
  <c r="CG114" i="13"/>
  <c r="BX149" i="13"/>
  <c r="CA156" i="13"/>
  <c r="CD171" i="13"/>
  <c r="CG187" i="13"/>
  <c r="CA218" i="13"/>
  <c r="CG253" i="13"/>
  <c r="CG260" i="13" s="1"/>
  <c r="CG258" i="13"/>
  <c r="CG285" i="13"/>
  <c r="CH296" i="13"/>
  <c r="CG296" i="13"/>
  <c r="CG302" i="13"/>
  <c r="CA318" i="13"/>
  <c r="CG326" i="13"/>
  <c r="CH329" i="13"/>
  <c r="CG340" i="13"/>
  <c r="CF341" i="13"/>
  <c r="CH37" i="13"/>
  <c r="CG48" i="13"/>
  <c r="CG82" i="13" s="1"/>
  <c r="CG74" i="13"/>
  <c r="CG180" i="13"/>
  <c r="CH189" i="13"/>
  <c r="CH224" i="13" s="1"/>
  <c r="CG189" i="13"/>
  <c r="CG193" i="13"/>
  <c r="CA194" i="13"/>
  <c r="CA206" i="13"/>
  <c r="CG208" i="13"/>
  <c r="CH269" i="13"/>
  <c r="CG5" i="13"/>
  <c r="CG12" i="13"/>
  <c r="CG29" i="13"/>
  <c r="CH52" i="13"/>
  <c r="CH84" i="13" s="1"/>
  <c r="BX104" i="13"/>
  <c r="BX132" i="13" s="1"/>
  <c r="CH107" i="13"/>
  <c r="CA108" i="13"/>
  <c r="CG110" i="13"/>
  <c r="CG130" i="13"/>
  <c r="CG141" i="13"/>
  <c r="CG173" i="13" s="1"/>
  <c r="CG174" i="13" s="1"/>
  <c r="CG148" i="13"/>
  <c r="CG162" i="13"/>
  <c r="CG166" i="13"/>
  <c r="CH179" i="13"/>
  <c r="CG179" i="13"/>
  <c r="CH192" i="13"/>
  <c r="CG196" i="13"/>
  <c r="BX205" i="13"/>
  <c r="CG212" i="13"/>
  <c r="CD225" i="13"/>
  <c r="CG239" i="13"/>
  <c r="CG262" i="13" s="1"/>
  <c r="CG263" i="13" s="1"/>
  <c r="CA254" i="13"/>
  <c r="CA260" i="13" s="1"/>
  <c r="CG293" i="13"/>
  <c r="BX302" i="13"/>
  <c r="CG313" i="13"/>
  <c r="CG341" i="13" s="1"/>
  <c r="BX337" i="13"/>
  <c r="CE342" i="13"/>
  <c r="CA6" i="13"/>
  <c r="CA41" i="13" s="1"/>
  <c r="BX5" i="13"/>
  <c r="CH8" i="13"/>
  <c r="CA152" i="13"/>
  <c r="BX187" i="13"/>
  <c r="BX208" i="13"/>
  <c r="CH230" i="13"/>
  <c r="CH260" i="13" s="1"/>
  <c r="BX253" i="13"/>
  <c r="BX260" i="13" s="1"/>
  <c r="CA274" i="13"/>
  <c r="CG281" i="13"/>
  <c r="CA294" i="13"/>
  <c r="CH320" i="13"/>
  <c r="CF342" i="13"/>
  <c r="CG192" i="13"/>
  <c r="CG201" i="13"/>
  <c r="CG284" i="13"/>
  <c r="CG306" i="13" s="1"/>
  <c r="CG294" i="13"/>
  <c r="CA226" i="13" l="1"/>
  <c r="BX343" i="13"/>
  <c r="BX344" i="13" s="1"/>
  <c r="CH40" i="13"/>
  <c r="CH43" i="13" s="1"/>
  <c r="CH41" i="13"/>
  <c r="CG307" i="13"/>
  <c r="BX309" i="13"/>
  <c r="CG224" i="13"/>
  <c r="BX226" i="13"/>
  <c r="BX131" i="13"/>
  <c r="BX134" i="13" s="1"/>
  <c r="CH223" i="13"/>
  <c r="CH226" i="13" s="1"/>
  <c r="CH342" i="13"/>
  <c r="CH343" i="13"/>
  <c r="CH344" i="13" s="1"/>
  <c r="CA223" i="13"/>
  <c r="CA42" i="13"/>
  <c r="CA261" i="13"/>
  <c r="CG225" i="13"/>
  <c r="CG226" i="13" s="1"/>
  <c r="CA40" i="13"/>
  <c r="CA262" i="13"/>
  <c r="CA263" i="13" s="1"/>
  <c r="CH262" i="13"/>
  <c r="CH263" i="13" s="1"/>
  <c r="CG172" i="13"/>
  <c r="CD226" i="13"/>
  <c r="CD174" i="13"/>
  <c r="CA343" i="13"/>
  <c r="CA344" i="13" s="1"/>
  <c r="CG41" i="13"/>
  <c r="CG40" i="13"/>
  <c r="CG42" i="13"/>
  <c r="CG43" i="13" s="1"/>
  <c r="CA306" i="13"/>
  <c r="CA309" i="13" s="1"/>
  <c r="CH307" i="13"/>
  <c r="CA307" i="13"/>
  <c r="BX263" i="13"/>
  <c r="CG132" i="13"/>
  <c r="CF344" i="13"/>
  <c r="CG84" i="13"/>
  <c r="CG85" i="13" s="1"/>
  <c r="CA172" i="13"/>
  <c r="CH82" i="13"/>
  <c r="CH85" i="13" s="1"/>
  <c r="CH308" i="13"/>
  <c r="CH309" i="13" s="1"/>
  <c r="CA173" i="13"/>
  <c r="CA174" i="13" s="1"/>
  <c r="CA133" i="13"/>
  <c r="CA134" i="13" s="1"/>
  <c r="BX42" i="13"/>
  <c r="BX41" i="13"/>
  <c r="BX40" i="13"/>
  <c r="BX43" i="13" l="1"/>
  <c r="CA43" i="13"/>
  <c r="CS3" i="11" l="1"/>
  <c r="R22" i="11" l="1"/>
  <c r="S22" i="11"/>
  <c r="T22" i="11"/>
  <c r="U22" i="11"/>
  <c r="V22" i="11"/>
  <c r="W22" i="11"/>
  <c r="X22" i="11"/>
  <c r="Y22" i="11"/>
  <c r="Z22" i="11"/>
  <c r="AA22" i="11"/>
  <c r="AB22" i="11"/>
  <c r="AC22" i="11"/>
  <c r="AD22" i="11"/>
  <c r="AJ20" i="11"/>
  <c r="AK20" i="11"/>
  <c r="AL20" i="11"/>
  <c r="AJ21" i="11"/>
  <c r="AK21" i="11"/>
  <c r="AL21" i="11"/>
  <c r="AJ22" i="11"/>
  <c r="AK22" i="11"/>
  <c r="AL22" i="11"/>
  <c r="CI25" i="11" l="1"/>
  <c r="CJ25" i="11"/>
  <c r="CK25" i="11"/>
  <c r="CL25" i="11"/>
  <c r="CM25" i="11"/>
  <c r="CN25" i="11"/>
  <c r="CO25" i="11"/>
  <c r="CP25" i="11"/>
  <c r="CQ25" i="11"/>
  <c r="CR25" i="11"/>
  <c r="CS25" i="11"/>
  <c r="CT25" i="11"/>
  <c r="CU25" i="11"/>
  <c r="CV25" i="11"/>
  <c r="CW25" i="11"/>
  <c r="CX25" i="11" s="1"/>
  <c r="CI26" i="11"/>
  <c r="CJ26" i="11"/>
  <c r="CK26" i="11"/>
  <c r="CL26" i="11"/>
  <c r="CM26" i="11"/>
  <c r="CN26" i="11"/>
  <c r="CO26" i="11"/>
  <c r="CP26" i="11"/>
  <c r="CQ26" i="11"/>
  <c r="CR26" i="11"/>
  <c r="CS26" i="11"/>
  <c r="CT26" i="11"/>
  <c r="CU26" i="11"/>
  <c r="CV26" i="11"/>
  <c r="CW26" i="11"/>
  <c r="CX26" i="11"/>
  <c r="CY26" i="11"/>
  <c r="CZ26" i="11"/>
  <c r="R25" i="11"/>
  <c r="S25" i="11"/>
  <c r="T25" i="11"/>
  <c r="U25" i="11"/>
  <c r="V25" i="11"/>
  <c r="W25" i="11"/>
  <c r="X25" i="11"/>
  <c r="Y25" i="11"/>
  <c r="Z25" i="11"/>
  <c r="AA25" i="11"/>
  <c r="AB25" i="11"/>
  <c r="AC25" i="11"/>
  <c r="AD25" i="11"/>
  <c r="AJ25" i="11"/>
  <c r="AK25" i="11"/>
  <c r="AL25" i="11"/>
  <c r="AJ26" i="11"/>
  <c r="AK26" i="11"/>
  <c r="AL26" i="11"/>
  <c r="CY25" i="11" l="1"/>
  <c r="CZ25" i="11"/>
  <c r="CI3" i="11" l="1"/>
  <c r="T22" i="12" l="1"/>
  <c r="Q19" i="12"/>
  <c r="R19" i="12"/>
  <c r="S19" i="12"/>
  <c r="T19" i="12"/>
  <c r="U19" i="12"/>
  <c r="V19" i="12"/>
  <c r="W19" i="12"/>
  <c r="X19" i="12"/>
  <c r="Y19" i="12"/>
  <c r="AA19" i="12"/>
  <c r="AB19" i="12"/>
  <c r="AC19" i="12"/>
  <c r="Q20" i="12"/>
  <c r="R20" i="12"/>
  <c r="S20" i="12"/>
  <c r="T20" i="12"/>
  <c r="U20" i="12"/>
  <c r="V20" i="12"/>
  <c r="W20" i="12"/>
  <c r="X20" i="12"/>
  <c r="Y20" i="12"/>
  <c r="AA20" i="12"/>
  <c r="AB20" i="12"/>
  <c r="AC20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AA21" i="12"/>
  <c r="AB21" i="12"/>
  <c r="AC21" i="12"/>
  <c r="N22" i="12"/>
  <c r="O22" i="12"/>
  <c r="P22" i="12"/>
  <c r="Q22" i="12"/>
  <c r="R22" i="12"/>
  <c r="S22" i="12"/>
  <c r="U22" i="12"/>
  <c r="V22" i="12"/>
  <c r="W22" i="12"/>
  <c r="X22" i="12"/>
  <c r="Y22" i="12"/>
  <c r="AA22" i="12"/>
  <c r="AB22" i="12"/>
  <c r="AC22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AA24" i="12"/>
  <c r="AB24" i="12"/>
  <c r="AC24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AA26" i="12"/>
  <c r="AB26" i="12"/>
  <c r="AC26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Z29" i="12"/>
  <c r="AA29" i="12"/>
  <c r="AB29" i="12"/>
  <c r="AC29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AA30" i="12"/>
  <c r="AB30" i="12"/>
  <c r="AC30" i="12"/>
  <c r="N31" i="12"/>
  <c r="O31" i="12"/>
  <c r="P31" i="12"/>
  <c r="Q31" i="12"/>
  <c r="R31" i="12"/>
  <c r="S31" i="12"/>
  <c r="T31" i="12"/>
  <c r="U31" i="12"/>
  <c r="V31" i="12"/>
  <c r="W31" i="12"/>
  <c r="X31" i="12"/>
  <c r="Y31" i="12"/>
  <c r="Z31" i="12"/>
  <c r="AA31" i="12"/>
  <c r="AB31" i="12"/>
  <c r="AC31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AA32" i="12"/>
  <c r="AB32" i="12"/>
  <c r="AC32" i="12"/>
  <c r="AG62" i="12"/>
  <c r="S62" i="12" s="1"/>
  <c r="AG63" i="12"/>
  <c r="T63" i="12" s="1"/>
  <c r="AG64" i="12"/>
  <c r="Y64" i="12" s="1"/>
  <c r="AG65" i="12"/>
  <c r="AG61" i="12"/>
  <c r="Q61" i="12"/>
  <c r="R61" i="12"/>
  <c r="S61" i="12"/>
  <c r="T61" i="12"/>
  <c r="U61" i="12"/>
  <c r="V61" i="12"/>
  <c r="W61" i="12"/>
  <c r="X61" i="12"/>
  <c r="Y61" i="12"/>
  <c r="Z61" i="12"/>
  <c r="AA61" i="12"/>
  <c r="AB61" i="12"/>
  <c r="AC61" i="12"/>
  <c r="Q62" i="12"/>
  <c r="R62" i="12"/>
  <c r="T62" i="12"/>
  <c r="U62" i="12"/>
  <c r="V62" i="12"/>
  <c r="W62" i="12"/>
  <c r="X62" i="12"/>
  <c r="Y62" i="12"/>
  <c r="Z62" i="12"/>
  <c r="AA62" i="12"/>
  <c r="AB62" i="12"/>
  <c r="AC62" i="12"/>
  <c r="Q63" i="12"/>
  <c r="R63" i="12"/>
  <c r="S63" i="12"/>
  <c r="W63" i="12"/>
  <c r="X63" i="12"/>
  <c r="Y63" i="12"/>
  <c r="Z63" i="12"/>
  <c r="AA63" i="12"/>
  <c r="AB63" i="12"/>
  <c r="AC63" i="12"/>
  <c r="Q64" i="12"/>
  <c r="R64" i="12"/>
  <c r="S64" i="12"/>
  <c r="T64" i="12"/>
  <c r="U64" i="12"/>
  <c r="V64" i="12"/>
  <c r="W64" i="12"/>
  <c r="X64" i="12"/>
  <c r="Z64" i="12"/>
  <c r="AA64" i="12"/>
  <c r="AB64" i="12"/>
  <c r="AC64" i="12"/>
  <c r="Q65" i="12"/>
  <c r="R65" i="12"/>
  <c r="S65" i="12"/>
  <c r="T65" i="12"/>
  <c r="U65" i="12"/>
  <c r="V65" i="12"/>
  <c r="W65" i="12"/>
  <c r="X65" i="12"/>
  <c r="Y65" i="12"/>
  <c r="Z65" i="12"/>
  <c r="AA65" i="12"/>
  <c r="AB65" i="12"/>
  <c r="AC65" i="12"/>
  <c r="Q37" i="12"/>
  <c r="R37" i="12"/>
  <c r="S37" i="12"/>
  <c r="T37" i="12"/>
  <c r="U37" i="12"/>
  <c r="V37" i="12"/>
  <c r="W37" i="12"/>
  <c r="X37" i="12"/>
  <c r="Y37" i="12"/>
  <c r="Z37" i="12"/>
  <c r="AA37" i="12"/>
  <c r="AB37" i="12"/>
  <c r="AC37" i="12"/>
  <c r="Q38" i="12"/>
  <c r="R38" i="12"/>
  <c r="S38" i="12"/>
  <c r="T38" i="12"/>
  <c r="U38" i="12"/>
  <c r="V38" i="12"/>
  <c r="W38" i="12"/>
  <c r="X38" i="12"/>
  <c r="Y38" i="12"/>
  <c r="Z38" i="12"/>
  <c r="AA38" i="12"/>
  <c r="AB38" i="12"/>
  <c r="AC38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Q40" i="12"/>
  <c r="R40" i="12"/>
  <c r="S40" i="12"/>
  <c r="T40" i="12"/>
  <c r="U40" i="12"/>
  <c r="V40" i="12"/>
  <c r="W40" i="12"/>
  <c r="X40" i="12"/>
  <c r="Y40" i="12"/>
  <c r="Z40" i="12"/>
  <c r="AA40" i="12"/>
  <c r="AB40" i="12"/>
  <c r="AC40" i="12"/>
  <c r="Q41" i="12"/>
  <c r="R41" i="12"/>
  <c r="S41" i="12"/>
  <c r="T41" i="12"/>
  <c r="U41" i="12"/>
  <c r="V41" i="12"/>
  <c r="W41" i="12"/>
  <c r="X41" i="12"/>
  <c r="Y41" i="12"/>
  <c r="Z41" i="12"/>
  <c r="AA41" i="12"/>
  <c r="AB41" i="12"/>
  <c r="AC41" i="12"/>
  <c r="Q42" i="12"/>
  <c r="R42" i="12"/>
  <c r="S42" i="12"/>
  <c r="T42" i="12"/>
  <c r="U42" i="12"/>
  <c r="V42" i="12"/>
  <c r="W42" i="12"/>
  <c r="X42" i="12"/>
  <c r="Y42" i="12"/>
  <c r="Z42" i="12"/>
  <c r="AA42" i="12"/>
  <c r="AB42" i="12"/>
  <c r="AC42" i="12"/>
  <c r="Q43" i="12"/>
  <c r="R43" i="12"/>
  <c r="S43" i="12"/>
  <c r="T43" i="12"/>
  <c r="U43" i="12"/>
  <c r="V43" i="12"/>
  <c r="W43" i="12"/>
  <c r="X43" i="12"/>
  <c r="Y43" i="12"/>
  <c r="Z43" i="12"/>
  <c r="AA43" i="12"/>
  <c r="AB43" i="12"/>
  <c r="AC43" i="12"/>
  <c r="Q44" i="12"/>
  <c r="R44" i="12"/>
  <c r="S44" i="12"/>
  <c r="T44" i="12"/>
  <c r="U44" i="12"/>
  <c r="V44" i="12"/>
  <c r="W44" i="12"/>
  <c r="X44" i="12"/>
  <c r="Y44" i="12"/>
  <c r="Z44" i="12"/>
  <c r="AA44" i="12"/>
  <c r="AB44" i="12"/>
  <c r="AC44" i="12"/>
  <c r="Q45" i="12"/>
  <c r="R45" i="12"/>
  <c r="S45" i="12"/>
  <c r="T45" i="12"/>
  <c r="U45" i="12"/>
  <c r="V45" i="12"/>
  <c r="W45" i="12"/>
  <c r="X45" i="12"/>
  <c r="Y45" i="12"/>
  <c r="Z45" i="12"/>
  <c r="AA45" i="12"/>
  <c r="AB45" i="12"/>
  <c r="AC45" i="12"/>
  <c r="Q46" i="12"/>
  <c r="R46" i="12"/>
  <c r="S46" i="12"/>
  <c r="T46" i="12"/>
  <c r="U46" i="12"/>
  <c r="V46" i="12"/>
  <c r="W46" i="12"/>
  <c r="X46" i="12"/>
  <c r="Y46" i="12"/>
  <c r="Z46" i="12"/>
  <c r="AA46" i="12"/>
  <c r="AB46" i="12"/>
  <c r="AC46" i="12"/>
  <c r="Q47" i="12"/>
  <c r="R47" i="12"/>
  <c r="S47" i="12"/>
  <c r="T47" i="12"/>
  <c r="U47" i="12"/>
  <c r="V47" i="12"/>
  <c r="W47" i="12"/>
  <c r="X47" i="12"/>
  <c r="Y47" i="12"/>
  <c r="Z47" i="12"/>
  <c r="AA47" i="12"/>
  <c r="AB47" i="12"/>
  <c r="AC47" i="12"/>
  <c r="Q48" i="12"/>
  <c r="R48" i="12"/>
  <c r="S48" i="12"/>
  <c r="T48" i="12"/>
  <c r="U48" i="12"/>
  <c r="V48" i="12"/>
  <c r="W48" i="12"/>
  <c r="X48" i="12"/>
  <c r="Y48" i="12"/>
  <c r="Z48" i="12"/>
  <c r="AA48" i="12"/>
  <c r="AB48" i="12"/>
  <c r="AC48" i="12"/>
  <c r="Q49" i="12"/>
  <c r="R49" i="12"/>
  <c r="S49" i="12"/>
  <c r="T49" i="12"/>
  <c r="U49" i="12"/>
  <c r="V49" i="12"/>
  <c r="W49" i="12"/>
  <c r="X49" i="12"/>
  <c r="Y49" i="12"/>
  <c r="Z49" i="12"/>
  <c r="AA49" i="12"/>
  <c r="AB49" i="12"/>
  <c r="AC49" i="12"/>
  <c r="Q50" i="12"/>
  <c r="R50" i="12"/>
  <c r="S50" i="12"/>
  <c r="T50" i="12"/>
  <c r="U50" i="12"/>
  <c r="V50" i="12"/>
  <c r="W50" i="12"/>
  <c r="X50" i="12"/>
  <c r="Y50" i="12"/>
  <c r="Z50" i="12"/>
  <c r="AA50" i="12"/>
  <c r="AB50" i="12"/>
  <c r="AC50" i="12"/>
  <c r="Q51" i="12"/>
  <c r="R51" i="12"/>
  <c r="S51" i="12"/>
  <c r="T51" i="12"/>
  <c r="U51" i="12"/>
  <c r="V51" i="12"/>
  <c r="W51" i="12"/>
  <c r="X51" i="12"/>
  <c r="Y51" i="12"/>
  <c r="Z51" i="12"/>
  <c r="AA51" i="12"/>
  <c r="AB51" i="12"/>
  <c r="AC51" i="12"/>
  <c r="Q52" i="12"/>
  <c r="R52" i="12"/>
  <c r="S52" i="12"/>
  <c r="T52" i="12"/>
  <c r="U52" i="12"/>
  <c r="V52" i="12"/>
  <c r="W52" i="12"/>
  <c r="X52" i="12"/>
  <c r="Y52" i="12"/>
  <c r="Z52" i="12"/>
  <c r="AA52" i="12"/>
  <c r="AB52" i="12"/>
  <c r="AC52" i="12"/>
  <c r="Q53" i="12"/>
  <c r="R53" i="12"/>
  <c r="S53" i="12"/>
  <c r="T53" i="12"/>
  <c r="U53" i="12"/>
  <c r="V53" i="12"/>
  <c r="W53" i="12"/>
  <c r="X53" i="12"/>
  <c r="Y53" i="12"/>
  <c r="Z53" i="12"/>
  <c r="AA53" i="12"/>
  <c r="AB53" i="12"/>
  <c r="AC53" i="12"/>
  <c r="Q54" i="12"/>
  <c r="R54" i="12"/>
  <c r="S54" i="12"/>
  <c r="T54" i="12"/>
  <c r="U54" i="12"/>
  <c r="V54" i="12"/>
  <c r="W54" i="12"/>
  <c r="X54" i="12"/>
  <c r="Y54" i="12"/>
  <c r="Z54" i="12"/>
  <c r="AA54" i="12"/>
  <c r="AB54" i="12"/>
  <c r="AC54" i="12"/>
  <c r="Q55" i="12"/>
  <c r="R55" i="12"/>
  <c r="S55" i="12"/>
  <c r="T55" i="12"/>
  <c r="U55" i="12"/>
  <c r="V55" i="12"/>
  <c r="W55" i="12"/>
  <c r="X55" i="12"/>
  <c r="Y55" i="12"/>
  <c r="Z55" i="12"/>
  <c r="AA55" i="12"/>
  <c r="AB55" i="12"/>
  <c r="AC55" i="12"/>
  <c r="Q56" i="12"/>
  <c r="R56" i="12"/>
  <c r="S56" i="12"/>
  <c r="T56" i="12"/>
  <c r="U56" i="12"/>
  <c r="V56" i="12"/>
  <c r="W56" i="12"/>
  <c r="X56" i="12"/>
  <c r="Y56" i="12"/>
  <c r="Z56" i="12"/>
  <c r="AA56" i="12"/>
  <c r="AB56" i="12"/>
  <c r="AC56" i="12"/>
  <c r="Q57" i="12"/>
  <c r="R57" i="12"/>
  <c r="S57" i="12"/>
  <c r="T57" i="12"/>
  <c r="U57" i="12"/>
  <c r="V57" i="12"/>
  <c r="W57" i="12"/>
  <c r="X57" i="12"/>
  <c r="Y57" i="12"/>
  <c r="Z57" i="12"/>
  <c r="AA57" i="12"/>
  <c r="AB57" i="12"/>
  <c r="AC57" i="12"/>
  <c r="Q58" i="12"/>
  <c r="R58" i="12"/>
  <c r="S58" i="12"/>
  <c r="T58" i="12"/>
  <c r="U58" i="12"/>
  <c r="V58" i="12"/>
  <c r="W58" i="12"/>
  <c r="X58" i="12"/>
  <c r="Y58" i="12"/>
  <c r="Z58" i="12"/>
  <c r="AA58" i="12"/>
  <c r="AB58" i="12"/>
  <c r="AC58" i="12"/>
  <c r="AC89" i="12"/>
  <c r="AB89" i="12"/>
  <c r="AA89" i="12"/>
  <c r="Z89" i="12"/>
  <c r="Y89" i="12"/>
  <c r="X89" i="12"/>
  <c r="W89" i="12"/>
  <c r="V89" i="12"/>
  <c r="U89" i="12"/>
  <c r="T89" i="12"/>
  <c r="S89" i="12"/>
  <c r="R89" i="12"/>
  <c r="Q89" i="12"/>
  <c r="AC88" i="12"/>
  <c r="AB88" i="12"/>
  <c r="AA88" i="12"/>
  <c r="Z88" i="12"/>
  <c r="Y88" i="12"/>
  <c r="X88" i="12"/>
  <c r="W88" i="12"/>
  <c r="V88" i="12"/>
  <c r="U88" i="12"/>
  <c r="T88" i="12"/>
  <c r="S88" i="12"/>
  <c r="R88" i="12"/>
  <c r="Q88" i="12"/>
  <c r="AC87" i="12"/>
  <c r="AB87" i="12"/>
  <c r="AA87" i="12"/>
  <c r="Z87" i="12"/>
  <c r="Y87" i="12"/>
  <c r="X87" i="12"/>
  <c r="W87" i="12"/>
  <c r="V87" i="12"/>
  <c r="U87" i="12"/>
  <c r="T87" i="12"/>
  <c r="S87" i="12"/>
  <c r="R87" i="12"/>
  <c r="Q87" i="12"/>
  <c r="AC86" i="12"/>
  <c r="AB86" i="12"/>
  <c r="AA86" i="12"/>
  <c r="Z86" i="12"/>
  <c r="Y86" i="12"/>
  <c r="X86" i="12"/>
  <c r="W86" i="12"/>
  <c r="V86" i="12"/>
  <c r="U86" i="12"/>
  <c r="T86" i="12"/>
  <c r="S86" i="12"/>
  <c r="R86" i="12"/>
  <c r="Q86" i="12"/>
  <c r="AC85" i="12"/>
  <c r="AB85" i="12"/>
  <c r="AA85" i="12"/>
  <c r="Z85" i="12"/>
  <c r="Y85" i="12"/>
  <c r="X85" i="12"/>
  <c r="W85" i="12"/>
  <c r="V85" i="12"/>
  <c r="U85" i="12"/>
  <c r="T85" i="12"/>
  <c r="S85" i="12"/>
  <c r="R85" i="12"/>
  <c r="Q85" i="12"/>
  <c r="AC84" i="12"/>
  <c r="AB84" i="12"/>
  <c r="AA84" i="12"/>
  <c r="Z84" i="12"/>
  <c r="Y84" i="12"/>
  <c r="X84" i="12"/>
  <c r="W84" i="12"/>
  <c r="V84" i="12"/>
  <c r="U84" i="12"/>
  <c r="T84" i="12"/>
  <c r="S84" i="12"/>
  <c r="R84" i="12"/>
  <c r="Q84" i="12"/>
  <c r="AC83" i="12"/>
  <c r="AB83" i="12"/>
  <c r="AA83" i="12"/>
  <c r="Z83" i="12"/>
  <c r="Y83" i="12"/>
  <c r="X83" i="12"/>
  <c r="W83" i="12"/>
  <c r="V83" i="12"/>
  <c r="U83" i="12"/>
  <c r="T83" i="12"/>
  <c r="S83" i="12"/>
  <c r="R83" i="12"/>
  <c r="Q83" i="12"/>
  <c r="AC82" i="12"/>
  <c r="AB82" i="12"/>
  <c r="AA82" i="12"/>
  <c r="Z82" i="12"/>
  <c r="Y82" i="12"/>
  <c r="X82" i="12"/>
  <c r="W82" i="12"/>
  <c r="V82" i="12"/>
  <c r="U82" i="12"/>
  <c r="T82" i="12"/>
  <c r="S82" i="12"/>
  <c r="R82" i="12"/>
  <c r="Q82" i="12"/>
  <c r="AC81" i="12"/>
  <c r="AB81" i="12"/>
  <c r="AA81" i="12"/>
  <c r="Z81" i="12"/>
  <c r="Y81" i="12"/>
  <c r="X81" i="12"/>
  <c r="W81" i="12"/>
  <c r="V81" i="12"/>
  <c r="U81" i="12"/>
  <c r="T81" i="12"/>
  <c r="S81" i="12"/>
  <c r="R81" i="12"/>
  <c r="Q81" i="12"/>
  <c r="AC80" i="12"/>
  <c r="AB80" i="12"/>
  <c r="AA80" i="12"/>
  <c r="Z80" i="12"/>
  <c r="Y80" i="12"/>
  <c r="X80" i="12"/>
  <c r="W80" i="12"/>
  <c r="V80" i="12"/>
  <c r="U80" i="12"/>
  <c r="T80" i="12"/>
  <c r="S80" i="12"/>
  <c r="R80" i="12"/>
  <c r="Q80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28" i="11"/>
  <c r="AF28" i="11"/>
  <c r="AG28" i="11"/>
  <c r="AH28" i="11"/>
  <c r="P29" i="11"/>
  <c r="AF29" i="11"/>
  <c r="AG29" i="11"/>
  <c r="AH29" i="11"/>
  <c r="P30" i="11"/>
  <c r="AF30" i="11"/>
  <c r="AG30" i="11"/>
  <c r="AH30" i="11"/>
  <c r="P31" i="11"/>
  <c r="AF31" i="11"/>
  <c r="AG31" i="11"/>
  <c r="AH31" i="11"/>
  <c r="P33" i="11"/>
  <c r="AF33" i="11"/>
  <c r="AG33" i="11"/>
  <c r="AH33" i="11"/>
  <c r="P34" i="11"/>
  <c r="AF34" i="11"/>
  <c r="AG34" i="11"/>
  <c r="AH34" i="11"/>
  <c r="P35" i="11"/>
  <c r="AF35" i="11"/>
  <c r="AG35" i="11"/>
  <c r="AH35" i="11"/>
  <c r="P36" i="11"/>
  <c r="AF36" i="11"/>
  <c r="AG36" i="11"/>
  <c r="AH36" i="11"/>
  <c r="P38" i="11"/>
  <c r="AF38" i="11"/>
  <c r="AG38" i="11"/>
  <c r="AH38" i="11"/>
  <c r="P39" i="11"/>
  <c r="AF39" i="11"/>
  <c r="AG39" i="11"/>
  <c r="AH39" i="11"/>
  <c r="P40" i="11"/>
  <c r="AF40" i="11"/>
  <c r="AG40" i="11"/>
  <c r="AH40" i="11"/>
  <c r="P41" i="11"/>
  <c r="AF41" i="11"/>
  <c r="AG41" i="11"/>
  <c r="AH41" i="11"/>
  <c r="D30" i="11"/>
  <c r="V63" i="12" l="1"/>
  <c r="U63" i="12"/>
  <c r="R46" i="11" l="1"/>
  <c r="S46" i="11"/>
  <c r="T46" i="11"/>
  <c r="U46" i="11"/>
  <c r="V46" i="11"/>
  <c r="W46" i="11"/>
  <c r="X46" i="11"/>
  <c r="Y46" i="11"/>
  <c r="Z46" i="11"/>
  <c r="AA46" i="11"/>
  <c r="AB46" i="11"/>
  <c r="AC46" i="11"/>
  <c r="AD46" i="11"/>
  <c r="R47" i="11"/>
  <c r="S47" i="11"/>
  <c r="T47" i="11"/>
  <c r="U47" i="11"/>
  <c r="V47" i="11"/>
  <c r="W47" i="11"/>
  <c r="X47" i="11"/>
  <c r="Y47" i="11"/>
  <c r="Z47" i="11"/>
  <c r="AA47" i="11"/>
  <c r="AB47" i="11"/>
  <c r="AC47" i="11"/>
  <c r="AD47" i="11"/>
  <c r="R48" i="11"/>
  <c r="S48" i="11"/>
  <c r="T48" i="11"/>
  <c r="U48" i="11"/>
  <c r="V48" i="11"/>
  <c r="W48" i="11"/>
  <c r="X48" i="11"/>
  <c r="Y48" i="11"/>
  <c r="Z48" i="11"/>
  <c r="AA48" i="11"/>
  <c r="AB48" i="11"/>
  <c r="AC48" i="11"/>
  <c r="AD48" i="11"/>
  <c r="R49" i="11"/>
  <c r="S49" i="11"/>
  <c r="T49" i="11"/>
  <c r="U49" i="11"/>
  <c r="V49" i="11"/>
  <c r="W49" i="11"/>
  <c r="X49" i="11"/>
  <c r="Y49" i="11"/>
  <c r="Z49" i="11"/>
  <c r="AA49" i="11"/>
  <c r="AB49" i="11"/>
  <c r="AC49" i="11"/>
  <c r="AD49" i="11"/>
  <c r="R50" i="11"/>
  <c r="S50" i="11"/>
  <c r="T50" i="11"/>
  <c r="U50" i="11"/>
  <c r="V50" i="11"/>
  <c r="W50" i="11"/>
  <c r="X50" i="11"/>
  <c r="Y50" i="11"/>
  <c r="Z50" i="11"/>
  <c r="AA50" i="11"/>
  <c r="AB50" i="11"/>
  <c r="AC50" i="11"/>
  <c r="AD50" i="11"/>
  <c r="R51" i="11"/>
  <c r="S51" i="11"/>
  <c r="T51" i="11"/>
  <c r="U51" i="11"/>
  <c r="V51" i="11"/>
  <c r="W51" i="11"/>
  <c r="X51" i="11"/>
  <c r="Y51" i="11"/>
  <c r="Z51" i="11"/>
  <c r="AA51" i="11"/>
  <c r="AB51" i="11"/>
  <c r="AC51" i="11"/>
  <c r="AD51" i="11"/>
  <c r="R52" i="11"/>
  <c r="S52" i="11"/>
  <c r="T52" i="11"/>
  <c r="U52" i="11"/>
  <c r="V52" i="11"/>
  <c r="W52" i="11"/>
  <c r="X52" i="11"/>
  <c r="Y52" i="11"/>
  <c r="Z52" i="11"/>
  <c r="AA52" i="11"/>
  <c r="AB52" i="11"/>
  <c r="AC52" i="11"/>
  <c r="AD52" i="11"/>
  <c r="R53" i="11"/>
  <c r="S53" i="11"/>
  <c r="T53" i="11"/>
  <c r="U53" i="11"/>
  <c r="V53" i="11"/>
  <c r="W53" i="11"/>
  <c r="X53" i="11"/>
  <c r="Y53" i="11"/>
  <c r="Z53" i="11"/>
  <c r="AA53" i="11"/>
  <c r="AB53" i="11"/>
  <c r="AC53" i="11"/>
  <c r="AD53" i="11"/>
  <c r="R54" i="11"/>
  <c r="S54" i="11"/>
  <c r="T54" i="11"/>
  <c r="U54" i="11"/>
  <c r="V54" i="11"/>
  <c r="W54" i="11"/>
  <c r="X54" i="11"/>
  <c r="Y54" i="11"/>
  <c r="Z54" i="11"/>
  <c r="AA54" i="11"/>
  <c r="AB54" i="11"/>
  <c r="AC54" i="11"/>
  <c r="AD54" i="11"/>
  <c r="R55" i="11"/>
  <c r="S55" i="11"/>
  <c r="T55" i="11"/>
  <c r="U55" i="11"/>
  <c r="V55" i="11"/>
  <c r="W55" i="11"/>
  <c r="X55" i="11"/>
  <c r="Y55" i="11"/>
  <c r="Z55" i="11"/>
  <c r="AA55" i="11"/>
  <c r="AB55" i="11"/>
  <c r="AC55" i="11"/>
  <c r="AD55" i="11"/>
  <c r="R56" i="11"/>
  <c r="S56" i="11"/>
  <c r="T56" i="11"/>
  <c r="U56" i="11"/>
  <c r="V56" i="11"/>
  <c r="W56" i="11"/>
  <c r="X56" i="11"/>
  <c r="Y56" i="11"/>
  <c r="Z56" i="11"/>
  <c r="AA56" i="11"/>
  <c r="AB56" i="11"/>
  <c r="AC56" i="11"/>
  <c r="AD56" i="11"/>
  <c r="R57" i="11"/>
  <c r="S57" i="11"/>
  <c r="T57" i="11"/>
  <c r="U57" i="11"/>
  <c r="V57" i="11"/>
  <c r="W57" i="11"/>
  <c r="X57" i="11"/>
  <c r="Y57" i="11"/>
  <c r="Z57" i="11"/>
  <c r="AA57" i="11"/>
  <c r="AB57" i="11"/>
  <c r="AC57" i="11"/>
  <c r="AD57" i="11"/>
  <c r="R58" i="11"/>
  <c r="S58" i="11"/>
  <c r="T58" i="11"/>
  <c r="U58" i="11"/>
  <c r="V58" i="11"/>
  <c r="W58" i="11"/>
  <c r="X58" i="11"/>
  <c r="Y58" i="11"/>
  <c r="Z58" i="11"/>
  <c r="AA58" i="11"/>
  <c r="AB58" i="11"/>
  <c r="AC58" i="11"/>
  <c r="AD58" i="11"/>
  <c r="R59" i="11"/>
  <c r="S59" i="11"/>
  <c r="T59" i="11"/>
  <c r="U59" i="11"/>
  <c r="V59" i="11"/>
  <c r="W59" i="11"/>
  <c r="X59" i="11"/>
  <c r="Y59" i="11"/>
  <c r="Z59" i="11"/>
  <c r="AA59" i="11"/>
  <c r="AB59" i="11"/>
  <c r="AC59" i="11"/>
  <c r="AD59" i="11"/>
  <c r="R60" i="11"/>
  <c r="S60" i="11"/>
  <c r="T60" i="11"/>
  <c r="U60" i="11"/>
  <c r="V60" i="11"/>
  <c r="W60" i="11"/>
  <c r="X60" i="11"/>
  <c r="Y60" i="11"/>
  <c r="Z60" i="11"/>
  <c r="AA60" i="11"/>
  <c r="AB60" i="11"/>
  <c r="AC60" i="11"/>
  <c r="AD60" i="11"/>
  <c r="R61" i="11"/>
  <c r="S61" i="11"/>
  <c r="T61" i="11"/>
  <c r="U61" i="11"/>
  <c r="V61" i="11"/>
  <c r="W61" i="11"/>
  <c r="X61" i="11"/>
  <c r="Y61" i="11"/>
  <c r="Z61" i="11"/>
  <c r="AA61" i="11"/>
  <c r="AB61" i="11"/>
  <c r="AC61" i="11"/>
  <c r="AD61" i="11"/>
  <c r="R62" i="11"/>
  <c r="S62" i="11"/>
  <c r="T62" i="11"/>
  <c r="U62" i="11"/>
  <c r="V62" i="11"/>
  <c r="W62" i="11"/>
  <c r="X62" i="11"/>
  <c r="Y62" i="11"/>
  <c r="Z62" i="11"/>
  <c r="AA62" i="11"/>
  <c r="AB62" i="11"/>
  <c r="AC62" i="11"/>
  <c r="AD62" i="11"/>
  <c r="R63" i="11"/>
  <c r="S63" i="11"/>
  <c r="T63" i="11"/>
  <c r="U63" i="11"/>
  <c r="V63" i="11"/>
  <c r="W63" i="11"/>
  <c r="X63" i="11"/>
  <c r="Y63" i="11"/>
  <c r="Z63" i="11"/>
  <c r="AA63" i="11"/>
  <c r="AB63" i="11"/>
  <c r="AC63" i="11"/>
  <c r="AD63" i="11"/>
  <c r="R64" i="11"/>
  <c r="S64" i="11"/>
  <c r="T64" i="11"/>
  <c r="U64" i="11"/>
  <c r="V64" i="11"/>
  <c r="W64" i="11"/>
  <c r="X64" i="11"/>
  <c r="Y64" i="11"/>
  <c r="Z64" i="11"/>
  <c r="AA64" i="11"/>
  <c r="AB64" i="11"/>
  <c r="AC64" i="11"/>
  <c r="AD64" i="11"/>
  <c r="R65" i="11"/>
  <c r="S65" i="11"/>
  <c r="T65" i="11"/>
  <c r="U65" i="11"/>
  <c r="V65" i="11"/>
  <c r="W65" i="11"/>
  <c r="X65" i="11"/>
  <c r="Y65" i="11"/>
  <c r="Z65" i="11"/>
  <c r="AA65" i="11"/>
  <c r="AB65" i="11"/>
  <c r="AC65" i="11"/>
  <c r="AD65" i="11"/>
  <c r="R66" i="11"/>
  <c r="S66" i="11"/>
  <c r="T66" i="11"/>
  <c r="U66" i="11"/>
  <c r="V66" i="11"/>
  <c r="W66" i="11"/>
  <c r="X66" i="11"/>
  <c r="Y66" i="11"/>
  <c r="Z66" i="11"/>
  <c r="AA66" i="11"/>
  <c r="AB66" i="11"/>
  <c r="AC66" i="11"/>
  <c r="AD66" i="11"/>
  <c r="R67" i="11"/>
  <c r="S67" i="11"/>
  <c r="T67" i="11"/>
  <c r="U67" i="11"/>
  <c r="V67" i="11"/>
  <c r="W67" i="11"/>
  <c r="X67" i="11"/>
  <c r="Y67" i="11"/>
  <c r="Z67" i="11"/>
  <c r="AB67" i="11"/>
  <c r="AC67" i="11"/>
  <c r="AD67" i="11"/>
  <c r="R68" i="11"/>
  <c r="S68" i="11"/>
  <c r="T68" i="11"/>
  <c r="U68" i="11"/>
  <c r="V68" i="11"/>
  <c r="W68" i="11"/>
  <c r="X68" i="11"/>
  <c r="Y68" i="11"/>
  <c r="Z68" i="11"/>
  <c r="AA68" i="11"/>
  <c r="AB68" i="11"/>
  <c r="AC68" i="11"/>
  <c r="AD68" i="11"/>
  <c r="R69" i="11"/>
  <c r="S69" i="11"/>
  <c r="T69" i="11"/>
  <c r="U69" i="11"/>
  <c r="V69" i="11"/>
  <c r="W69" i="11"/>
  <c r="X69" i="11"/>
  <c r="Y69" i="11"/>
  <c r="Z69" i="11"/>
  <c r="AA69" i="11"/>
  <c r="AB69" i="11"/>
  <c r="AC69" i="11"/>
  <c r="AD69" i="11"/>
  <c r="R70" i="11"/>
  <c r="S70" i="11"/>
  <c r="T70" i="11"/>
  <c r="U70" i="11"/>
  <c r="V70" i="11"/>
  <c r="W70" i="11"/>
  <c r="X70" i="11"/>
  <c r="Y70" i="11"/>
  <c r="Z70" i="11"/>
  <c r="AA70" i="11"/>
  <c r="AB70" i="11"/>
  <c r="AC70" i="11"/>
  <c r="AD70" i="11"/>
  <c r="R71" i="11"/>
  <c r="S71" i="11"/>
  <c r="T71" i="11"/>
  <c r="U71" i="11"/>
  <c r="V71" i="11"/>
  <c r="W71" i="11"/>
  <c r="X71" i="11"/>
  <c r="Y71" i="11"/>
  <c r="Z71" i="11"/>
  <c r="AA71" i="11"/>
  <c r="AB71" i="11"/>
  <c r="AC71" i="11"/>
  <c r="AD71" i="11"/>
  <c r="R72" i="11"/>
  <c r="S72" i="11"/>
  <c r="T72" i="11"/>
  <c r="U72" i="11"/>
  <c r="V72" i="11"/>
  <c r="W72" i="11"/>
  <c r="X72" i="11"/>
  <c r="Y72" i="11"/>
  <c r="Z72" i="11"/>
  <c r="AA72" i="11"/>
  <c r="AB72" i="11"/>
  <c r="AC72" i="11"/>
  <c r="AD72" i="11"/>
  <c r="R73" i="11"/>
  <c r="S73" i="11"/>
  <c r="T73" i="11"/>
  <c r="U73" i="11"/>
  <c r="V73" i="11"/>
  <c r="W73" i="11"/>
  <c r="X73" i="11"/>
  <c r="Y73" i="11"/>
  <c r="Z73" i="11"/>
  <c r="AA73" i="11"/>
  <c r="AB73" i="11"/>
  <c r="AC73" i="11"/>
  <c r="AD73" i="11"/>
  <c r="R74" i="11"/>
  <c r="S74" i="11"/>
  <c r="T74" i="11"/>
  <c r="U74" i="11"/>
  <c r="V74" i="11"/>
  <c r="W74" i="11"/>
  <c r="X74" i="11"/>
  <c r="Y74" i="11"/>
  <c r="Z74" i="11"/>
  <c r="AA74" i="11"/>
  <c r="AB74" i="11"/>
  <c r="AC74" i="11"/>
  <c r="AD74" i="11"/>
  <c r="R75" i="11"/>
  <c r="S75" i="11"/>
  <c r="T75" i="11"/>
  <c r="U75" i="11"/>
  <c r="V75" i="11"/>
  <c r="W75" i="11"/>
  <c r="X75" i="11"/>
  <c r="Y75" i="11"/>
  <c r="Z75" i="11"/>
  <c r="AA75" i="11"/>
  <c r="AB75" i="11"/>
  <c r="AC75" i="11"/>
  <c r="AD75" i="11"/>
  <c r="R76" i="11"/>
  <c r="S76" i="11"/>
  <c r="T76" i="11"/>
  <c r="U76" i="11"/>
  <c r="V76" i="11"/>
  <c r="W76" i="11"/>
  <c r="X76" i="11"/>
  <c r="Y76" i="11"/>
  <c r="Z76" i="11"/>
  <c r="AA76" i="11"/>
  <c r="AB76" i="11"/>
  <c r="AC76" i="11"/>
  <c r="AD76" i="11"/>
  <c r="R87" i="11"/>
  <c r="S87" i="11"/>
  <c r="T87" i="11"/>
  <c r="U87" i="11"/>
  <c r="V87" i="11"/>
  <c r="W87" i="11"/>
  <c r="X87" i="11"/>
  <c r="Y87" i="11"/>
  <c r="Z87" i="11"/>
  <c r="AA87" i="11"/>
  <c r="AB87" i="11"/>
  <c r="AC87" i="11"/>
  <c r="AD87" i="11"/>
  <c r="R88" i="11"/>
  <c r="S88" i="11"/>
  <c r="T88" i="11"/>
  <c r="U88" i="11"/>
  <c r="V88" i="11"/>
  <c r="W88" i="11"/>
  <c r="X88" i="11"/>
  <c r="Y88" i="11"/>
  <c r="Z88" i="11"/>
  <c r="AA88" i="11"/>
  <c r="AB88" i="11"/>
  <c r="AC88" i="11"/>
  <c r="AD88" i="11"/>
  <c r="R89" i="11"/>
  <c r="S89" i="11"/>
  <c r="T89" i="11"/>
  <c r="U89" i="11"/>
  <c r="V89" i="11"/>
  <c r="W89" i="11"/>
  <c r="X89" i="11"/>
  <c r="Y89" i="11"/>
  <c r="Z89" i="11"/>
  <c r="AA89" i="11"/>
  <c r="AB89" i="11"/>
  <c r="AC89" i="11"/>
  <c r="AD89" i="11"/>
  <c r="R90" i="11"/>
  <c r="S90" i="11"/>
  <c r="T90" i="11"/>
  <c r="U90" i="11"/>
  <c r="V90" i="11"/>
  <c r="W90" i="11"/>
  <c r="X90" i="11"/>
  <c r="Y90" i="11"/>
  <c r="Z90" i="11"/>
  <c r="AA90" i="11"/>
  <c r="AB90" i="11"/>
  <c r="AC90" i="11"/>
  <c r="AD90" i="11"/>
  <c r="R91" i="11"/>
  <c r="S91" i="11"/>
  <c r="T91" i="11"/>
  <c r="U91" i="11"/>
  <c r="V91" i="11"/>
  <c r="W91" i="11"/>
  <c r="X91" i="11"/>
  <c r="Y91" i="11"/>
  <c r="Z91" i="11"/>
  <c r="AA91" i="11"/>
  <c r="AB91" i="11"/>
  <c r="AC91" i="11"/>
  <c r="AD91" i="11"/>
  <c r="R92" i="11"/>
  <c r="S92" i="11"/>
  <c r="T92" i="11"/>
  <c r="U92" i="11"/>
  <c r="V92" i="11"/>
  <c r="W92" i="11"/>
  <c r="X92" i="11"/>
  <c r="Y92" i="11"/>
  <c r="Z92" i="11"/>
  <c r="AA92" i="11"/>
  <c r="AB92" i="11"/>
  <c r="AC92" i="11"/>
  <c r="AD92" i="11"/>
  <c r="R93" i="11"/>
  <c r="S93" i="11"/>
  <c r="T93" i="11"/>
  <c r="U93" i="11"/>
  <c r="V93" i="11"/>
  <c r="W93" i="11"/>
  <c r="X93" i="11"/>
  <c r="Y93" i="11"/>
  <c r="Z93" i="11"/>
  <c r="AA93" i="11"/>
  <c r="AB93" i="11"/>
  <c r="AC93" i="11"/>
  <c r="AD93" i="11"/>
  <c r="R94" i="11"/>
  <c r="S94" i="11"/>
  <c r="T94" i="11"/>
  <c r="U94" i="11"/>
  <c r="V94" i="11"/>
  <c r="W94" i="11"/>
  <c r="X94" i="11"/>
  <c r="Y94" i="11"/>
  <c r="Z94" i="11"/>
  <c r="AA94" i="11"/>
  <c r="AB94" i="11"/>
  <c r="AC94" i="11"/>
  <c r="AD94" i="11"/>
  <c r="R95" i="11"/>
  <c r="S95" i="11"/>
  <c r="T95" i="11"/>
  <c r="U95" i="11"/>
  <c r="V95" i="11"/>
  <c r="W95" i="11"/>
  <c r="X95" i="11"/>
  <c r="Y95" i="11"/>
  <c r="Z95" i="11"/>
  <c r="AA95" i="11"/>
  <c r="AB95" i="11"/>
  <c r="AC95" i="11"/>
  <c r="AD95" i="11"/>
  <c r="R96" i="11"/>
  <c r="S96" i="11"/>
  <c r="T96" i="11"/>
  <c r="U96" i="11"/>
  <c r="V96" i="11"/>
  <c r="W96" i="11"/>
  <c r="X96" i="11"/>
  <c r="Y96" i="11"/>
  <c r="Z96" i="11"/>
  <c r="AA96" i="11"/>
  <c r="AB96" i="11"/>
  <c r="AC96" i="11"/>
  <c r="AD96" i="11"/>
  <c r="T4" i="11"/>
  <c r="U4" i="11"/>
  <c r="V4" i="11"/>
  <c r="W4" i="11"/>
  <c r="X4" i="11"/>
  <c r="Y4" i="11"/>
  <c r="Z4" i="11"/>
  <c r="AA4" i="11"/>
  <c r="AB4" i="11"/>
  <c r="AC4" i="11"/>
  <c r="AD4" i="11"/>
  <c r="T5" i="11"/>
  <c r="U5" i="11"/>
  <c r="V5" i="11"/>
  <c r="W5" i="11"/>
  <c r="X5" i="11"/>
  <c r="Y5" i="11"/>
  <c r="Z5" i="11"/>
  <c r="AA5" i="11"/>
  <c r="AB5" i="11"/>
  <c r="AC5" i="11"/>
  <c r="AD5" i="11"/>
  <c r="T6" i="11"/>
  <c r="U6" i="11"/>
  <c r="V6" i="11"/>
  <c r="W6" i="11"/>
  <c r="X6" i="11"/>
  <c r="Y6" i="11"/>
  <c r="Z6" i="11"/>
  <c r="AA6" i="11"/>
  <c r="AB6" i="11"/>
  <c r="AC6" i="11"/>
  <c r="AD6" i="11"/>
  <c r="T7" i="11"/>
  <c r="U7" i="11"/>
  <c r="V7" i="11"/>
  <c r="W7" i="11"/>
  <c r="X7" i="11"/>
  <c r="Y7" i="11"/>
  <c r="Z7" i="11"/>
  <c r="AA7" i="11"/>
  <c r="AB7" i="11"/>
  <c r="AC7" i="11"/>
  <c r="AD7" i="11"/>
  <c r="T8" i="11"/>
  <c r="U8" i="11"/>
  <c r="V8" i="11"/>
  <c r="W8" i="11"/>
  <c r="X8" i="11"/>
  <c r="Y8" i="11"/>
  <c r="Z8" i="11"/>
  <c r="AA8" i="11"/>
  <c r="AB8" i="11"/>
  <c r="AC8" i="11"/>
  <c r="AD8" i="11"/>
  <c r="T9" i="11"/>
  <c r="U9" i="11"/>
  <c r="V9" i="11"/>
  <c r="W9" i="11"/>
  <c r="X9" i="11"/>
  <c r="Y9" i="11"/>
  <c r="Z9" i="11"/>
  <c r="AA9" i="11"/>
  <c r="AB9" i="11"/>
  <c r="AC9" i="11"/>
  <c r="AD9" i="11"/>
  <c r="T10" i="11"/>
  <c r="U10" i="11"/>
  <c r="V10" i="11"/>
  <c r="W10" i="11"/>
  <c r="X10" i="11"/>
  <c r="Y10" i="11"/>
  <c r="Z10" i="11"/>
  <c r="AA10" i="11"/>
  <c r="AB10" i="11"/>
  <c r="AC10" i="11"/>
  <c r="AD10" i="11"/>
  <c r="T11" i="11"/>
  <c r="U11" i="11"/>
  <c r="V11" i="11"/>
  <c r="W11" i="11"/>
  <c r="X11" i="11"/>
  <c r="Y11" i="11"/>
  <c r="Z11" i="11"/>
  <c r="AA11" i="11"/>
  <c r="AB11" i="11"/>
  <c r="AC11" i="11"/>
  <c r="AD11" i="11"/>
  <c r="T12" i="11"/>
  <c r="U12" i="11"/>
  <c r="V12" i="11"/>
  <c r="W12" i="11"/>
  <c r="X12" i="11"/>
  <c r="Y12" i="11"/>
  <c r="Z12" i="11"/>
  <c r="AA12" i="11"/>
  <c r="AB12" i="11"/>
  <c r="AC12" i="11"/>
  <c r="AD12" i="11"/>
  <c r="T13" i="11"/>
  <c r="U13" i="11"/>
  <c r="V13" i="11"/>
  <c r="W13" i="11"/>
  <c r="X13" i="11"/>
  <c r="Y13" i="11"/>
  <c r="Z13" i="11"/>
  <c r="AA13" i="11"/>
  <c r="AB13" i="11"/>
  <c r="AC13" i="11"/>
  <c r="AD13" i="11"/>
  <c r="T14" i="11"/>
  <c r="U14" i="11"/>
  <c r="V14" i="11"/>
  <c r="W14" i="11"/>
  <c r="X14" i="11"/>
  <c r="Y14" i="11"/>
  <c r="Z14" i="11"/>
  <c r="AA14" i="11"/>
  <c r="AB14" i="11"/>
  <c r="AC14" i="11"/>
  <c r="AD14" i="11"/>
  <c r="T15" i="11"/>
  <c r="U15" i="11"/>
  <c r="V15" i="11"/>
  <c r="W15" i="11"/>
  <c r="X15" i="11"/>
  <c r="Y15" i="11"/>
  <c r="Z15" i="11"/>
  <c r="AA15" i="11"/>
  <c r="AB15" i="11"/>
  <c r="AC15" i="11"/>
  <c r="AD15" i="11"/>
  <c r="T16" i="11"/>
  <c r="U16" i="11"/>
  <c r="V16" i="11"/>
  <c r="W16" i="11"/>
  <c r="X16" i="11"/>
  <c r="Y16" i="11"/>
  <c r="Z16" i="11"/>
  <c r="AA16" i="11"/>
  <c r="CV16" i="11" s="1"/>
  <c r="AB16" i="11"/>
  <c r="AC16" i="11"/>
  <c r="AD16" i="11"/>
  <c r="T17" i="11"/>
  <c r="U17" i="11"/>
  <c r="V17" i="11"/>
  <c r="W17" i="11"/>
  <c r="X17" i="11"/>
  <c r="Y17" i="11"/>
  <c r="Z17" i="11"/>
  <c r="AA17" i="11"/>
  <c r="AB17" i="11"/>
  <c r="AC17" i="11"/>
  <c r="AD17" i="11"/>
  <c r="T18" i="11"/>
  <c r="U18" i="11"/>
  <c r="V18" i="11"/>
  <c r="W18" i="11"/>
  <c r="X18" i="11"/>
  <c r="Y18" i="11"/>
  <c r="Z18" i="11"/>
  <c r="AA18" i="11"/>
  <c r="AB18" i="11"/>
  <c r="AC18" i="11"/>
  <c r="AD18" i="11"/>
  <c r="T19" i="11"/>
  <c r="U19" i="11"/>
  <c r="V19" i="11"/>
  <c r="W19" i="11"/>
  <c r="X19" i="11"/>
  <c r="Y19" i="11"/>
  <c r="Z19" i="11"/>
  <c r="AA19" i="11"/>
  <c r="AB19" i="11"/>
  <c r="AC19" i="11"/>
  <c r="AD19" i="11"/>
  <c r="AD3" i="11"/>
  <c r="AC3" i="11"/>
  <c r="AB3" i="11"/>
  <c r="AA3" i="11"/>
  <c r="Z3" i="11"/>
  <c r="Y3" i="11"/>
  <c r="X3" i="11"/>
  <c r="W3" i="11"/>
  <c r="V3" i="11"/>
  <c r="T3" i="11"/>
  <c r="U3" i="11"/>
  <c r="R4" i="11"/>
  <c r="CV4" i="11" s="1"/>
  <c r="S4" i="11"/>
  <c r="R5" i="11"/>
  <c r="S5" i="11"/>
  <c r="R6" i="11"/>
  <c r="S6" i="11"/>
  <c r="R7" i="11"/>
  <c r="S7" i="11"/>
  <c r="R8" i="11"/>
  <c r="CV8" i="11" s="1"/>
  <c r="S8" i="11"/>
  <c r="R9" i="11"/>
  <c r="CV9" i="11" s="1"/>
  <c r="S9" i="11"/>
  <c r="R10" i="11"/>
  <c r="S10" i="11"/>
  <c r="R11" i="11"/>
  <c r="CV11" i="11" s="1"/>
  <c r="S11" i="11"/>
  <c r="R12" i="11"/>
  <c r="CV12" i="11" s="1"/>
  <c r="S12" i="11"/>
  <c r="R13" i="11"/>
  <c r="S13" i="11"/>
  <c r="R14" i="11"/>
  <c r="S14" i="11"/>
  <c r="R15" i="11"/>
  <c r="S15" i="11"/>
  <c r="R16" i="11"/>
  <c r="S16" i="11"/>
  <c r="R17" i="11"/>
  <c r="S17" i="11"/>
  <c r="R18" i="11"/>
  <c r="CV18" i="11" s="1"/>
  <c r="S18" i="11"/>
  <c r="R19" i="11"/>
  <c r="CV19" i="11" s="1"/>
  <c r="S19" i="11"/>
  <c r="R3" i="11"/>
  <c r="S3" i="11"/>
  <c r="CV15" i="11" l="1"/>
  <c r="CV3" i="11"/>
  <c r="R31" i="11"/>
  <c r="R29" i="11"/>
  <c r="R30" i="11"/>
  <c r="R28" i="11"/>
  <c r="T29" i="11"/>
  <c r="T30" i="11"/>
  <c r="T31" i="11"/>
  <c r="T28" i="11"/>
  <c r="AD38" i="11"/>
  <c r="AD39" i="11"/>
  <c r="AD40" i="11"/>
  <c r="AD41" i="11"/>
  <c r="T33" i="11"/>
  <c r="T35" i="11"/>
  <c r="T34" i="11"/>
  <c r="T36" i="11"/>
  <c r="AC39" i="11"/>
  <c r="AC40" i="11"/>
  <c r="AC41" i="11"/>
  <c r="AC38" i="11"/>
  <c r="CV10" i="11"/>
  <c r="W31" i="11"/>
  <c r="W28" i="11"/>
  <c r="W29" i="11"/>
  <c r="W30" i="11"/>
  <c r="AB40" i="11"/>
  <c r="AB41" i="11"/>
  <c r="AB38" i="11"/>
  <c r="AB39" i="11"/>
  <c r="AA41" i="11"/>
  <c r="AA40" i="11"/>
  <c r="AA38" i="11"/>
  <c r="AA39" i="11"/>
  <c r="V28" i="11"/>
  <c r="V29" i="11"/>
  <c r="V30" i="11"/>
  <c r="V31" i="11"/>
  <c r="AD34" i="11"/>
  <c r="AD35" i="11"/>
  <c r="AD36" i="11"/>
  <c r="AD33" i="11"/>
  <c r="U28" i="11"/>
  <c r="U29" i="11"/>
  <c r="U31" i="11"/>
  <c r="U30" i="11"/>
  <c r="Z41" i="11"/>
  <c r="Z38" i="11"/>
  <c r="Z40" i="11"/>
  <c r="Z39" i="11"/>
  <c r="Z29" i="11"/>
  <c r="Z31" i="11"/>
  <c r="Z28" i="11"/>
  <c r="Z30" i="11"/>
  <c r="Y38" i="11"/>
  <c r="Y39" i="11"/>
  <c r="Y40" i="11"/>
  <c r="Y41" i="11"/>
  <c r="AC33" i="11"/>
  <c r="AC34" i="11"/>
  <c r="AC35" i="11"/>
  <c r="AC36" i="11"/>
  <c r="S38" i="11"/>
  <c r="S39" i="11"/>
  <c r="S41" i="11"/>
  <c r="S40" i="11"/>
  <c r="X31" i="11"/>
  <c r="X30" i="11"/>
  <c r="X29" i="11"/>
  <c r="X28" i="11"/>
  <c r="CV17" i="11"/>
  <c r="R38" i="11"/>
  <c r="R40" i="11"/>
  <c r="R39" i="11"/>
  <c r="R41" i="11"/>
  <c r="Y29" i="11"/>
  <c r="Y30" i="11"/>
  <c r="Y31" i="11"/>
  <c r="Y28" i="11"/>
  <c r="AA30" i="11"/>
  <c r="AA29" i="11"/>
  <c r="AA31" i="11"/>
  <c r="AA28" i="11"/>
  <c r="X38" i="11"/>
  <c r="X39" i="11"/>
  <c r="X41" i="11"/>
  <c r="X40" i="11"/>
  <c r="AB34" i="11"/>
  <c r="AB35" i="11"/>
  <c r="AB36" i="11"/>
  <c r="AB33" i="11"/>
  <c r="AB29" i="11"/>
  <c r="AB30" i="11"/>
  <c r="AB31" i="11"/>
  <c r="AB28" i="11"/>
  <c r="AA33" i="11"/>
  <c r="AA34" i="11"/>
  <c r="AA36" i="11"/>
  <c r="AA35" i="11"/>
  <c r="Z34" i="11"/>
  <c r="Z33" i="11"/>
  <c r="Z35" i="11"/>
  <c r="Z36" i="11"/>
  <c r="AC30" i="11"/>
  <c r="AC29" i="11"/>
  <c r="AC31" i="11"/>
  <c r="AC28" i="11"/>
  <c r="U38" i="11"/>
  <c r="U40" i="11"/>
  <c r="U41" i="11"/>
  <c r="U39" i="11"/>
  <c r="Y33" i="11"/>
  <c r="Y34" i="11"/>
  <c r="Y36" i="11"/>
  <c r="Y35" i="11"/>
  <c r="X35" i="11"/>
  <c r="X33" i="11"/>
  <c r="X36" i="11"/>
  <c r="X34" i="11"/>
  <c r="W38" i="11"/>
  <c r="W40" i="11"/>
  <c r="W39" i="11"/>
  <c r="W41" i="11"/>
  <c r="AD30" i="11"/>
  <c r="AD31" i="11"/>
  <c r="AD29" i="11"/>
  <c r="AD28" i="11"/>
  <c r="W34" i="11"/>
  <c r="W33" i="11"/>
  <c r="W35" i="11"/>
  <c r="W36" i="11"/>
  <c r="R33" i="11"/>
  <c r="R34" i="11"/>
  <c r="R35" i="11"/>
  <c r="R36" i="11"/>
  <c r="V34" i="11"/>
  <c r="V36" i="11"/>
  <c r="V33" i="11"/>
  <c r="V35" i="11"/>
  <c r="V40" i="11"/>
  <c r="V38" i="11"/>
  <c r="V39" i="11"/>
  <c r="V41" i="11"/>
  <c r="CV14" i="11"/>
  <c r="T39" i="11"/>
  <c r="T40" i="11"/>
  <c r="T41" i="11"/>
  <c r="T38" i="11"/>
  <c r="S33" i="11"/>
  <c r="S34" i="11"/>
  <c r="S35" i="11"/>
  <c r="S36" i="11"/>
  <c r="S30" i="11"/>
  <c r="S31" i="11"/>
  <c r="S29" i="11"/>
  <c r="S28" i="11"/>
  <c r="U36" i="11"/>
  <c r="U33" i="11"/>
  <c r="U34" i="11"/>
  <c r="U35" i="11"/>
  <c r="CV7" i="11"/>
  <c r="CV13" i="11"/>
  <c r="CV5" i="11"/>
  <c r="CV6" i="11"/>
  <c r="E19" i="12" l="1"/>
  <c r="F19" i="12"/>
  <c r="G19" i="12"/>
  <c r="H19" i="12"/>
  <c r="I19" i="12"/>
  <c r="J19" i="12"/>
  <c r="K19" i="12"/>
  <c r="L19" i="12"/>
  <c r="M19" i="12"/>
  <c r="E20" i="12"/>
  <c r="F20" i="12"/>
  <c r="G20" i="12"/>
  <c r="H20" i="12"/>
  <c r="I20" i="12"/>
  <c r="J20" i="12"/>
  <c r="K20" i="12"/>
  <c r="L20" i="12"/>
  <c r="M20" i="12"/>
  <c r="E21" i="12"/>
  <c r="F21" i="12"/>
  <c r="G21" i="12"/>
  <c r="H21" i="12"/>
  <c r="I21" i="12"/>
  <c r="J21" i="12"/>
  <c r="K21" i="12"/>
  <c r="L21" i="12"/>
  <c r="M21" i="12"/>
  <c r="E22" i="12"/>
  <c r="F22" i="12"/>
  <c r="G22" i="12"/>
  <c r="H22" i="12"/>
  <c r="I22" i="12"/>
  <c r="J22" i="12"/>
  <c r="K22" i="12"/>
  <c r="L22" i="12"/>
  <c r="M22" i="12"/>
  <c r="D22" i="12"/>
  <c r="D21" i="12"/>
  <c r="D20" i="12"/>
  <c r="D19" i="12"/>
  <c r="AR22" i="12"/>
  <c r="AR21" i="12"/>
  <c r="AR20" i="12"/>
  <c r="AR19" i="12"/>
  <c r="AH13" i="12"/>
  <c r="AI13" i="12"/>
  <c r="AJ13" i="12"/>
  <c r="CG13" i="12"/>
  <c r="CH13" i="12"/>
  <c r="CI13" i="12"/>
  <c r="CJ13" i="12"/>
  <c r="CK13" i="12"/>
  <c r="CL13" i="12"/>
  <c r="CM13" i="12"/>
  <c r="CN13" i="12"/>
  <c r="CO13" i="12"/>
  <c r="CP13" i="12"/>
  <c r="CQ13" i="12"/>
  <c r="CR13" i="12"/>
  <c r="CS13" i="12"/>
  <c r="CT13" i="12"/>
  <c r="CU13" i="12" s="1"/>
  <c r="E29" i="12"/>
  <c r="F29" i="12"/>
  <c r="G29" i="12"/>
  <c r="H29" i="12"/>
  <c r="I29" i="12"/>
  <c r="J29" i="12"/>
  <c r="K29" i="12"/>
  <c r="L29" i="12"/>
  <c r="M29" i="12"/>
  <c r="E30" i="12"/>
  <c r="F30" i="12"/>
  <c r="G30" i="12"/>
  <c r="H30" i="12"/>
  <c r="I30" i="12"/>
  <c r="J30" i="12"/>
  <c r="K30" i="12"/>
  <c r="L30" i="12"/>
  <c r="M30" i="12"/>
  <c r="E31" i="12"/>
  <c r="F31" i="12"/>
  <c r="G31" i="12"/>
  <c r="H31" i="12"/>
  <c r="I31" i="12"/>
  <c r="J31" i="12"/>
  <c r="K31" i="12"/>
  <c r="L31" i="12"/>
  <c r="M31" i="12"/>
  <c r="E32" i="12"/>
  <c r="F32" i="12"/>
  <c r="G32" i="12"/>
  <c r="H32" i="12"/>
  <c r="I32" i="12"/>
  <c r="J32" i="12"/>
  <c r="K32" i="12"/>
  <c r="L32" i="12"/>
  <c r="M32" i="12"/>
  <c r="D32" i="12"/>
  <c r="D31" i="12"/>
  <c r="D30" i="12"/>
  <c r="D29" i="12"/>
  <c r="CV13" i="12" l="1"/>
  <c r="CW13" i="12"/>
  <c r="AJ66" i="12"/>
  <c r="AI66" i="12"/>
  <c r="AH66" i="12"/>
  <c r="CT65" i="12"/>
  <c r="CU65" i="12" s="1"/>
  <c r="CS65" i="12"/>
  <c r="CR65" i="12"/>
  <c r="CQ65" i="12"/>
  <c r="CP65" i="12"/>
  <c r="CO65" i="12"/>
  <c r="CN65" i="12"/>
  <c r="CM65" i="12"/>
  <c r="CL65" i="12"/>
  <c r="CK65" i="12"/>
  <c r="CJ65" i="12"/>
  <c r="CI65" i="12"/>
  <c r="CH65" i="12"/>
  <c r="CG65" i="12"/>
  <c r="AJ65" i="12"/>
  <c r="AI65" i="12"/>
  <c r="AH65" i="12"/>
  <c r="CT64" i="12"/>
  <c r="CU64" i="12" s="1"/>
  <c r="CS64" i="12"/>
  <c r="CQ64" i="12"/>
  <c r="CP64" i="12"/>
  <c r="CO64" i="12"/>
  <c r="CN64" i="12"/>
  <c r="CM64" i="12"/>
  <c r="CL64" i="12"/>
  <c r="CK64" i="12"/>
  <c r="CJ64" i="12"/>
  <c r="CI64" i="12"/>
  <c r="CH64" i="12"/>
  <c r="CG64" i="12"/>
  <c r="AJ64" i="12"/>
  <c r="AI64" i="12"/>
  <c r="AH64" i="12"/>
  <c r="CT63" i="12"/>
  <c r="CU63" i="12" s="1"/>
  <c r="CS63" i="12"/>
  <c r="CR63" i="12"/>
  <c r="CQ63" i="12"/>
  <c r="CP63" i="12"/>
  <c r="CO63" i="12"/>
  <c r="CN63" i="12"/>
  <c r="CM63" i="12"/>
  <c r="CL63" i="12"/>
  <c r="CK63" i="12"/>
  <c r="CJ63" i="12"/>
  <c r="CI63" i="12"/>
  <c r="CH63" i="12"/>
  <c r="CG63" i="12"/>
  <c r="AJ63" i="12"/>
  <c r="AI63" i="12"/>
  <c r="AH63" i="12"/>
  <c r="CT62" i="12"/>
  <c r="CU62" i="12" s="1"/>
  <c r="CS62" i="12"/>
  <c r="CQ62" i="12"/>
  <c r="CP62" i="12"/>
  <c r="CO62" i="12"/>
  <c r="CN62" i="12"/>
  <c r="CM62" i="12"/>
  <c r="CL62" i="12"/>
  <c r="CK62" i="12"/>
  <c r="CJ62" i="12"/>
  <c r="CI62" i="12"/>
  <c r="CH62" i="12"/>
  <c r="CG62" i="12"/>
  <c r="AJ62" i="12"/>
  <c r="AI62" i="12"/>
  <c r="AH62" i="12"/>
  <c r="CT61" i="12"/>
  <c r="CU61" i="12" s="1"/>
  <c r="CW61" i="12" s="1"/>
  <c r="CS61" i="12"/>
  <c r="CQ61" i="12"/>
  <c r="CP61" i="12"/>
  <c r="CO61" i="12"/>
  <c r="CN61" i="12"/>
  <c r="CM61" i="12"/>
  <c r="CL61" i="12"/>
  <c r="CK61" i="12"/>
  <c r="CJ61" i="12"/>
  <c r="CI61" i="12"/>
  <c r="CH61" i="12"/>
  <c r="CG61" i="12"/>
  <c r="AJ61" i="12"/>
  <c r="AI61" i="12"/>
  <c r="AH61" i="12"/>
  <c r="AJ59" i="12"/>
  <c r="AI59" i="12"/>
  <c r="AH59" i="12"/>
  <c r="CT58" i="12"/>
  <c r="CU58" i="12" s="1"/>
  <c r="CW58" i="12" s="1"/>
  <c r="CS58" i="12"/>
  <c r="CR58" i="12"/>
  <c r="CQ58" i="12"/>
  <c r="CP58" i="12"/>
  <c r="CO58" i="12"/>
  <c r="CN58" i="12"/>
  <c r="CM58" i="12"/>
  <c r="CL58" i="12"/>
  <c r="CK58" i="12"/>
  <c r="CJ58" i="12"/>
  <c r="CI58" i="12"/>
  <c r="CH58" i="12"/>
  <c r="CG58" i="12"/>
  <c r="AJ58" i="12"/>
  <c r="AI58" i="12"/>
  <c r="AH58" i="12"/>
  <c r="CT57" i="12"/>
  <c r="CU57" i="12" s="1"/>
  <c r="CW57" i="12" s="1"/>
  <c r="CS57" i="12"/>
  <c r="CR57" i="12"/>
  <c r="CQ57" i="12"/>
  <c r="CP57" i="12"/>
  <c r="CO57" i="12"/>
  <c r="CN57" i="12"/>
  <c r="CM57" i="12"/>
  <c r="CL57" i="12"/>
  <c r="CK57" i="12"/>
  <c r="CJ57" i="12"/>
  <c r="CI57" i="12"/>
  <c r="CH57" i="12"/>
  <c r="CG57" i="12"/>
  <c r="AJ57" i="12"/>
  <c r="AI57" i="12"/>
  <c r="AH57" i="12"/>
  <c r="CT56" i="12"/>
  <c r="CU56" i="12" s="1"/>
  <c r="CS56" i="12"/>
  <c r="CR56" i="12"/>
  <c r="CQ56" i="12"/>
  <c r="CP56" i="12"/>
  <c r="CO56" i="12"/>
  <c r="CN56" i="12"/>
  <c r="CM56" i="12"/>
  <c r="CK56" i="12"/>
  <c r="CJ56" i="12"/>
  <c r="CI56" i="12"/>
  <c r="CH56" i="12"/>
  <c r="CG56" i="12"/>
  <c r="AJ56" i="12"/>
  <c r="AI56" i="12"/>
  <c r="AH56" i="12"/>
  <c r="CT55" i="12"/>
  <c r="CU55" i="12" s="1"/>
  <c r="CW55" i="12" s="1"/>
  <c r="CS55" i="12"/>
  <c r="CR55" i="12"/>
  <c r="CQ55" i="12"/>
  <c r="CP55" i="12"/>
  <c r="CO55" i="12"/>
  <c r="CN55" i="12"/>
  <c r="CM55" i="12"/>
  <c r="CL55" i="12"/>
  <c r="CK55" i="12"/>
  <c r="CJ55" i="12"/>
  <c r="CI55" i="12"/>
  <c r="CH55" i="12"/>
  <c r="CG55" i="12"/>
  <c r="AJ55" i="12"/>
  <c r="AI55" i="12"/>
  <c r="AH55" i="12"/>
  <c r="CT54" i="12"/>
  <c r="CU54" i="12" s="1"/>
  <c r="CS54" i="12"/>
  <c r="CR54" i="12"/>
  <c r="CQ54" i="12"/>
  <c r="CP54" i="12"/>
  <c r="CO54" i="12"/>
  <c r="CN54" i="12"/>
  <c r="CM54" i="12"/>
  <c r="CL54" i="12"/>
  <c r="CK54" i="12"/>
  <c r="CJ54" i="12"/>
  <c r="CI54" i="12"/>
  <c r="CH54" i="12"/>
  <c r="CG54" i="12"/>
  <c r="AJ54" i="12"/>
  <c r="AI54" i="12"/>
  <c r="AH54" i="12"/>
  <c r="CT53" i="12"/>
  <c r="CU53" i="12" s="1"/>
  <c r="CS53" i="12"/>
  <c r="CR53" i="12"/>
  <c r="CQ53" i="12"/>
  <c r="CP53" i="12"/>
  <c r="CO53" i="12"/>
  <c r="CN53" i="12"/>
  <c r="CM53" i="12"/>
  <c r="CL53" i="12"/>
  <c r="CK53" i="12"/>
  <c r="CJ53" i="12"/>
  <c r="CI53" i="12"/>
  <c r="CH53" i="12"/>
  <c r="CG53" i="12"/>
  <c r="AJ53" i="12"/>
  <c r="AI53" i="12"/>
  <c r="AH53" i="12"/>
  <c r="CT52" i="12"/>
  <c r="CU52" i="12" s="1"/>
  <c r="CS52" i="12"/>
  <c r="CR52" i="12"/>
  <c r="CQ52" i="12"/>
  <c r="CP52" i="12"/>
  <c r="CO52" i="12"/>
  <c r="CN52" i="12"/>
  <c r="CM52" i="12"/>
  <c r="CL52" i="12"/>
  <c r="CK52" i="12"/>
  <c r="CJ52" i="12"/>
  <c r="CI52" i="12"/>
  <c r="CH52" i="12"/>
  <c r="CG52" i="12"/>
  <c r="AJ52" i="12"/>
  <c r="AI52" i="12"/>
  <c r="AH52" i="12"/>
  <c r="CT51" i="12"/>
  <c r="CU51" i="12" s="1"/>
  <c r="CS51" i="12"/>
  <c r="CR51" i="12"/>
  <c r="CQ51" i="12"/>
  <c r="CP51" i="12"/>
  <c r="CO51" i="12"/>
  <c r="CN51" i="12"/>
  <c r="CM51" i="12"/>
  <c r="CL51" i="12"/>
  <c r="CK51" i="12"/>
  <c r="CJ51" i="12"/>
  <c r="CI51" i="12"/>
  <c r="CH51" i="12"/>
  <c r="CG51" i="12"/>
  <c r="AJ51" i="12"/>
  <c r="AI51" i="12"/>
  <c r="AH51" i="12"/>
  <c r="CR50" i="12"/>
  <c r="CQ50" i="12"/>
  <c r="CP50" i="12"/>
  <c r="CO50" i="12"/>
  <c r="CN50" i="12"/>
  <c r="CM50" i="12"/>
  <c r="CL50" i="12"/>
  <c r="CK50" i="12"/>
  <c r="CJ50" i="12"/>
  <c r="CI50" i="12"/>
  <c r="CH50" i="12"/>
  <c r="CG50" i="12"/>
  <c r="AI50" i="12"/>
  <c r="AH50" i="12"/>
  <c r="CT49" i="12"/>
  <c r="CU49" i="12" s="1"/>
  <c r="CS49" i="12"/>
  <c r="CR49" i="12"/>
  <c r="CQ49" i="12"/>
  <c r="CP49" i="12"/>
  <c r="CO49" i="12"/>
  <c r="CN49" i="12"/>
  <c r="CM49" i="12"/>
  <c r="CL49" i="12"/>
  <c r="CK49" i="12"/>
  <c r="CJ49" i="12"/>
  <c r="CI49" i="12"/>
  <c r="CH49" i="12"/>
  <c r="CG49" i="12"/>
  <c r="AJ49" i="12"/>
  <c r="AI49" i="12"/>
  <c r="AH49" i="12"/>
  <c r="CT48" i="12"/>
  <c r="CU48" i="12" s="1"/>
  <c r="CS48" i="12"/>
  <c r="CR48" i="12"/>
  <c r="CQ48" i="12"/>
  <c r="CP48" i="12"/>
  <c r="CO48" i="12"/>
  <c r="CN48" i="12"/>
  <c r="CM48" i="12"/>
  <c r="CL48" i="12"/>
  <c r="CK48" i="12"/>
  <c r="CJ48" i="12"/>
  <c r="CI48" i="12"/>
  <c r="CH48" i="12"/>
  <c r="CG48" i="12"/>
  <c r="AJ48" i="12"/>
  <c r="AI48" i="12"/>
  <c r="AH48" i="12"/>
  <c r="CT47" i="12"/>
  <c r="CU47" i="12" s="1"/>
  <c r="CS47" i="12"/>
  <c r="CR47" i="12"/>
  <c r="CQ47" i="12"/>
  <c r="CP47" i="12"/>
  <c r="CO47" i="12"/>
  <c r="CN47" i="12"/>
  <c r="CM47" i="12"/>
  <c r="CL47" i="12"/>
  <c r="CK47" i="12"/>
  <c r="CJ47" i="12"/>
  <c r="CI47" i="12"/>
  <c r="CH47" i="12"/>
  <c r="CG47" i="12"/>
  <c r="AJ47" i="12"/>
  <c r="AI47" i="12"/>
  <c r="AH47" i="12"/>
  <c r="CT46" i="12"/>
  <c r="CU46" i="12" s="1"/>
  <c r="CS46" i="12"/>
  <c r="CR46" i="12"/>
  <c r="CQ46" i="12"/>
  <c r="CP46" i="12"/>
  <c r="CO46" i="12"/>
  <c r="CN46" i="12"/>
  <c r="CM46" i="12"/>
  <c r="CL46" i="12"/>
  <c r="CK46" i="12"/>
  <c r="CJ46" i="12"/>
  <c r="CI46" i="12"/>
  <c r="CH46" i="12"/>
  <c r="CG46" i="12"/>
  <c r="AJ46" i="12"/>
  <c r="AI46" i="12"/>
  <c r="AH46" i="12"/>
  <c r="CT45" i="12"/>
  <c r="CU45" i="12" s="1"/>
  <c r="CS45" i="12"/>
  <c r="CR45" i="12"/>
  <c r="CQ45" i="12"/>
  <c r="CP45" i="12"/>
  <c r="CO45" i="12"/>
  <c r="CN45" i="12"/>
  <c r="CM45" i="12"/>
  <c r="CL45" i="12"/>
  <c r="CK45" i="12"/>
  <c r="CJ45" i="12"/>
  <c r="CI45" i="12"/>
  <c r="CH45" i="12"/>
  <c r="CG45" i="12"/>
  <c r="AJ45" i="12"/>
  <c r="AI45" i="12"/>
  <c r="AH45" i="12"/>
  <c r="CT44" i="12"/>
  <c r="CU44" i="12" s="1"/>
  <c r="CS44" i="12"/>
  <c r="CR44" i="12"/>
  <c r="CQ44" i="12"/>
  <c r="CP44" i="12"/>
  <c r="CO44" i="12"/>
  <c r="CN44" i="12"/>
  <c r="CM44" i="12"/>
  <c r="CK44" i="12"/>
  <c r="CJ44" i="12"/>
  <c r="CI44" i="12"/>
  <c r="CH44" i="12"/>
  <c r="CG44" i="12"/>
  <c r="AJ44" i="12"/>
  <c r="AI44" i="12"/>
  <c r="AH44" i="12"/>
  <c r="CT43" i="12"/>
  <c r="CU43" i="12" s="1"/>
  <c r="CS43" i="12"/>
  <c r="CR43" i="12"/>
  <c r="CQ43" i="12"/>
  <c r="CP43" i="12"/>
  <c r="CO43" i="12"/>
  <c r="CN43" i="12"/>
  <c r="CM43" i="12"/>
  <c r="CK43" i="12"/>
  <c r="CJ43" i="12"/>
  <c r="CI43" i="12"/>
  <c r="CH43" i="12"/>
  <c r="CG43" i="12"/>
  <c r="AJ43" i="12"/>
  <c r="AI43" i="12"/>
  <c r="AH43" i="12"/>
  <c r="CT42" i="12"/>
  <c r="CU42" i="12" s="1"/>
  <c r="CS42" i="12"/>
  <c r="CR42" i="12"/>
  <c r="CQ42" i="12"/>
  <c r="CP42" i="12"/>
  <c r="CO42" i="12"/>
  <c r="CN42" i="12"/>
  <c r="CM42" i="12"/>
  <c r="CK42" i="12"/>
  <c r="CJ42" i="12"/>
  <c r="CI42" i="12"/>
  <c r="CH42" i="12"/>
  <c r="CG42" i="12"/>
  <c r="AJ42" i="12"/>
  <c r="AI42" i="12"/>
  <c r="AH42" i="12"/>
  <c r="CT41" i="12"/>
  <c r="CU41" i="12" s="1"/>
  <c r="CS41" i="12"/>
  <c r="CR41" i="12"/>
  <c r="CQ41" i="12"/>
  <c r="CP41" i="12"/>
  <c r="CO41" i="12"/>
  <c r="CN41" i="12"/>
  <c r="CM41" i="12"/>
  <c r="CK41" i="12"/>
  <c r="CJ41" i="12"/>
  <c r="CI41" i="12"/>
  <c r="CH41" i="12"/>
  <c r="CG41" i="12"/>
  <c r="AJ41" i="12"/>
  <c r="AI41" i="12"/>
  <c r="AH41" i="12"/>
  <c r="CT40" i="12"/>
  <c r="CU40" i="12" s="1"/>
  <c r="CS40" i="12"/>
  <c r="CR40" i="12"/>
  <c r="CQ40" i="12"/>
  <c r="CP40" i="12"/>
  <c r="CO40" i="12"/>
  <c r="CN40" i="12"/>
  <c r="CM40" i="12"/>
  <c r="CL40" i="12"/>
  <c r="CK40" i="12"/>
  <c r="CJ40" i="12"/>
  <c r="CI40" i="12"/>
  <c r="CH40" i="12"/>
  <c r="CG40" i="12"/>
  <c r="AJ40" i="12"/>
  <c r="AI40" i="12"/>
  <c r="AH40" i="12"/>
  <c r="CT39" i="12"/>
  <c r="CU39" i="12" s="1"/>
  <c r="CS39" i="12"/>
  <c r="CR39" i="12"/>
  <c r="CQ39" i="12"/>
  <c r="CP39" i="12"/>
  <c r="CO39" i="12"/>
  <c r="CN39" i="12"/>
  <c r="CM39" i="12"/>
  <c r="CK39" i="12"/>
  <c r="CJ39" i="12"/>
  <c r="CI39" i="12"/>
  <c r="CH39" i="12"/>
  <c r="CG39" i="12"/>
  <c r="AJ39" i="12"/>
  <c r="AI39" i="12"/>
  <c r="AH39" i="12"/>
  <c r="CT38" i="12"/>
  <c r="CU38" i="12" s="1"/>
  <c r="CS38" i="12"/>
  <c r="CR38" i="12"/>
  <c r="CQ38" i="12"/>
  <c r="CP38" i="12"/>
  <c r="CO38" i="12"/>
  <c r="CN38" i="12"/>
  <c r="CM38" i="12"/>
  <c r="CK38" i="12"/>
  <c r="CJ38" i="12"/>
  <c r="CI38" i="12"/>
  <c r="CH38" i="12"/>
  <c r="CG38" i="12"/>
  <c r="AJ38" i="12"/>
  <c r="AI38" i="12"/>
  <c r="AH38" i="12"/>
  <c r="CT37" i="12"/>
  <c r="CS37" i="12"/>
  <c r="CR37" i="12"/>
  <c r="CQ37" i="12"/>
  <c r="CP37" i="12"/>
  <c r="CO37" i="12"/>
  <c r="CN37" i="12"/>
  <c r="CM37" i="12"/>
  <c r="CK37" i="12"/>
  <c r="CJ37" i="12"/>
  <c r="CI37" i="12"/>
  <c r="CH37" i="12"/>
  <c r="CG37" i="12"/>
  <c r="AJ37" i="12"/>
  <c r="AI37" i="12"/>
  <c r="AH37" i="12"/>
  <c r="AR32" i="12"/>
  <c r="AR31" i="12"/>
  <c r="AR30" i="12"/>
  <c r="AR29" i="12"/>
  <c r="AR27" i="12"/>
  <c r="M27" i="12"/>
  <c r="L27" i="12"/>
  <c r="K27" i="12"/>
  <c r="J27" i="12"/>
  <c r="I27" i="12"/>
  <c r="H27" i="12"/>
  <c r="G27" i="12"/>
  <c r="F27" i="12"/>
  <c r="E27" i="12"/>
  <c r="D27" i="12"/>
  <c r="AR26" i="12"/>
  <c r="M26" i="12"/>
  <c r="L26" i="12"/>
  <c r="K26" i="12"/>
  <c r="J26" i="12"/>
  <c r="I26" i="12"/>
  <c r="H26" i="12"/>
  <c r="G26" i="12"/>
  <c r="F26" i="12"/>
  <c r="E26" i="12"/>
  <c r="D26" i="12"/>
  <c r="AR25" i="12"/>
  <c r="M25" i="12"/>
  <c r="L25" i="12"/>
  <c r="K25" i="12"/>
  <c r="J25" i="12"/>
  <c r="I25" i="12"/>
  <c r="H25" i="12"/>
  <c r="G25" i="12"/>
  <c r="F25" i="12"/>
  <c r="E25" i="12"/>
  <c r="D25" i="12"/>
  <c r="AR24" i="12"/>
  <c r="M24" i="12"/>
  <c r="L24" i="12"/>
  <c r="K24" i="12"/>
  <c r="J24" i="12"/>
  <c r="I24" i="12"/>
  <c r="H24" i="12"/>
  <c r="G24" i="12"/>
  <c r="F24" i="12"/>
  <c r="E24" i="12"/>
  <c r="D24" i="12"/>
  <c r="CT17" i="12"/>
  <c r="CU17" i="12" s="1"/>
  <c r="CS17" i="12"/>
  <c r="CR17" i="12"/>
  <c r="CQ17" i="12"/>
  <c r="CP17" i="12"/>
  <c r="CO17" i="12"/>
  <c r="CN17" i="12"/>
  <c r="CM17" i="12"/>
  <c r="CL17" i="12"/>
  <c r="CK17" i="12"/>
  <c r="CJ17" i="12"/>
  <c r="CI17" i="12"/>
  <c r="CH17" i="12"/>
  <c r="CG17" i="12"/>
  <c r="AJ17" i="12"/>
  <c r="AI17" i="12"/>
  <c r="AH17" i="12"/>
  <c r="CT16" i="12"/>
  <c r="CS16" i="12"/>
  <c r="CR16" i="12"/>
  <c r="CQ16" i="12"/>
  <c r="CP16" i="12"/>
  <c r="CO16" i="12"/>
  <c r="CN16" i="12"/>
  <c r="CM16" i="12"/>
  <c r="CL16" i="12"/>
  <c r="CK16" i="12"/>
  <c r="CJ16" i="12"/>
  <c r="CI16" i="12"/>
  <c r="CH16" i="12"/>
  <c r="CG16" i="12"/>
  <c r="AJ16" i="12"/>
  <c r="AI16" i="12"/>
  <c r="AH16" i="12"/>
  <c r="CT15" i="12"/>
  <c r="CU15" i="12" s="1"/>
  <c r="CS15" i="12"/>
  <c r="CR15" i="12"/>
  <c r="CQ15" i="12"/>
  <c r="CP15" i="12"/>
  <c r="CO15" i="12"/>
  <c r="CN15" i="12"/>
  <c r="CM15" i="12"/>
  <c r="CL15" i="12"/>
  <c r="CK15" i="12"/>
  <c r="CJ15" i="12"/>
  <c r="CI15" i="12"/>
  <c r="CH15" i="12"/>
  <c r="CG15" i="12"/>
  <c r="AJ15" i="12"/>
  <c r="AI15" i="12"/>
  <c r="AH15" i="12"/>
  <c r="CT14" i="12"/>
  <c r="CU14" i="12" s="1"/>
  <c r="CS14" i="12"/>
  <c r="CR14" i="12"/>
  <c r="CQ14" i="12"/>
  <c r="CP14" i="12"/>
  <c r="CO14" i="12"/>
  <c r="CN14" i="12"/>
  <c r="CM14" i="12"/>
  <c r="CL14" i="12"/>
  <c r="CK14" i="12"/>
  <c r="CJ14" i="12"/>
  <c r="CI14" i="12"/>
  <c r="CH14" i="12"/>
  <c r="CG14" i="12"/>
  <c r="AJ14" i="12"/>
  <c r="AI14" i="12"/>
  <c r="AH14" i="12"/>
  <c r="CT12" i="12"/>
  <c r="CU12" i="12" s="1"/>
  <c r="CS12" i="12"/>
  <c r="CR12" i="12"/>
  <c r="CQ12" i="12"/>
  <c r="CP12" i="12"/>
  <c r="CO12" i="12"/>
  <c r="CN12" i="12"/>
  <c r="CM12" i="12"/>
  <c r="CL12" i="12"/>
  <c r="CK12" i="12"/>
  <c r="CJ12" i="12"/>
  <c r="CI12" i="12"/>
  <c r="CH12" i="12"/>
  <c r="CG12" i="12"/>
  <c r="AJ12" i="12"/>
  <c r="AI12" i="12"/>
  <c r="AH12" i="12"/>
  <c r="CT11" i="12"/>
  <c r="CU11" i="12" s="1"/>
  <c r="CS11" i="12"/>
  <c r="CR11" i="12"/>
  <c r="CQ11" i="12"/>
  <c r="CP11" i="12"/>
  <c r="CO11" i="12"/>
  <c r="CN11" i="12"/>
  <c r="CM11" i="12"/>
  <c r="CL11" i="12"/>
  <c r="CK11" i="12"/>
  <c r="CJ11" i="12"/>
  <c r="CI11" i="12"/>
  <c r="CH11" i="12"/>
  <c r="CG11" i="12"/>
  <c r="AJ11" i="12"/>
  <c r="AI11" i="12"/>
  <c r="AH11" i="12"/>
  <c r="CT10" i="12"/>
  <c r="CS10" i="12"/>
  <c r="CR10" i="12"/>
  <c r="CQ10" i="12"/>
  <c r="CP10" i="12"/>
  <c r="CO10" i="12"/>
  <c r="CN10" i="12"/>
  <c r="CM10" i="12"/>
  <c r="CL10" i="12"/>
  <c r="CK10" i="12"/>
  <c r="CJ10" i="12"/>
  <c r="CI10" i="12"/>
  <c r="CH10" i="12"/>
  <c r="CG10" i="12"/>
  <c r="AJ10" i="12"/>
  <c r="AI10" i="12"/>
  <c r="AH10" i="12"/>
  <c r="CT9" i="12"/>
  <c r="CU9" i="12" s="1"/>
  <c r="CS9" i="12"/>
  <c r="CQ9" i="12"/>
  <c r="CP9" i="12"/>
  <c r="CO9" i="12"/>
  <c r="CN9" i="12"/>
  <c r="CM9" i="12"/>
  <c r="CL9" i="12"/>
  <c r="CK9" i="12"/>
  <c r="CJ9" i="12"/>
  <c r="CI9" i="12"/>
  <c r="CH9" i="12"/>
  <c r="CG9" i="12"/>
  <c r="AJ9" i="12"/>
  <c r="AI9" i="12"/>
  <c r="AH9" i="12"/>
  <c r="CT8" i="12"/>
  <c r="CU8" i="12" s="1"/>
  <c r="CS8" i="12"/>
  <c r="CR8" i="12"/>
  <c r="CQ8" i="12"/>
  <c r="CP8" i="12"/>
  <c r="CO8" i="12"/>
  <c r="CN8" i="12"/>
  <c r="CM8" i="12"/>
  <c r="CL8" i="12"/>
  <c r="CK8" i="12"/>
  <c r="CJ8" i="12"/>
  <c r="CI8" i="12"/>
  <c r="CH8" i="12"/>
  <c r="CG8" i="12"/>
  <c r="AJ8" i="12"/>
  <c r="AI8" i="12"/>
  <c r="AH8" i="12"/>
  <c r="CT7" i="12"/>
  <c r="CU7" i="12" s="1"/>
  <c r="CS7" i="12"/>
  <c r="CR7" i="12"/>
  <c r="CQ7" i="12"/>
  <c r="CP7" i="12"/>
  <c r="CO7" i="12"/>
  <c r="CN7" i="12"/>
  <c r="CM7" i="12"/>
  <c r="CL7" i="12"/>
  <c r="CK7" i="12"/>
  <c r="CJ7" i="12"/>
  <c r="CI7" i="12"/>
  <c r="CH7" i="12"/>
  <c r="CG7" i="12"/>
  <c r="AJ7" i="12"/>
  <c r="AI7" i="12"/>
  <c r="AH7" i="12"/>
  <c r="CT6" i="12"/>
  <c r="CU6" i="12" s="1"/>
  <c r="CS6" i="12"/>
  <c r="CR6" i="12"/>
  <c r="CQ6" i="12"/>
  <c r="CP6" i="12"/>
  <c r="CO6" i="12"/>
  <c r="CN6" i="12"/>
  <c r="CM6" i="12"/>
  <c r="CL6" i="12"/>
  <c r="CK6" i="12"/>
  <c r="CJ6" i="12"/>
  <c r="CI6" i="12"/>
  <c r="CH6" i="12"/>
  <c r="CG6" i="12"/>
  <c r="AJ6" i="12"/>
  <c r="AI6" i="12"/>
  <c r="AH6" i="12"/>
  <c r="CT5" i="12"/>
  <c r="CU5" i="12" s="1"/>
  <c r="CS5" i="12"/>
  <c r="CR5" i="12"/>
  <c r="CQ5" i="12"/>
  <c r="CP5" i="12"/>
  <c r="CO5" i="12"/>
  <c r="CN5" i="12"/>
  <c r="CM5" i="12"/>
  <c r="CL5" i="12"/>
  <c r="CK5" i="12"/>
  <c r="CJ5" i="12"/>
  <c r="CI5" i="12"/>
  <c r="CH5" i="12"/>
  <c r="CG5" i="12"/>
  <c r="AJ5" i="12"/>
  <c r="AI5" i="12"/>
  <c r="AH5" i="12"/>
  <c r="CT4" i="12"/>
  <c r="CU4" i="12" s="1"/>
  <c r="CS4" i="12"/>
  <c r="CR4" i="12"/>
  <c r="CQ4" i="12"/>
  <c r="CP4" i="12"/>
  <c r="CO4" i="12"/>
  <c r="CN4" i="12"/>
  <c r="CM4" i="12"/>
  <c r="CL4" i="12"/>
  <c r="CK4" i="12"/>
  <c r="CJ4" i="12"/>
  <c r="CI4" i="12"/>
  <c r="CH4" i="12"/>
  <c r="CG4" i="12"/>
  <c r="AJ4" i="12"/>
  <c r="AI4" i="12"/>
  <c r="AH4" i="12"/>
  <c r="CQ3" i="12"/>
  <c r="CP3" i="12"/>
  <c r="CO3" i="12"/>
  <c r="CN3" i="12"/>
  <c r="CM3" i="12"/>
  <c r="CL3" i="12"/>
  <c r="CK3" i="12"/>
  <c r="CJ3" i="12"/>
  <c r="CI3" i="12"/>
  <c r="AT29" i="11"/>
  <c r="AT28" i="11"/>
  <c r="AT33" i="11"/>
  <c r="AT36" i="11"/>
  <c r="AT35" i="11"/>
  <c r="AT34" i="11"/>
  <c r="AT41" i="11"/>
  <c r="AT40" i="11"/>
  <c r="AT39" i="11"/>
  <c r="AT38" i="11"/>
  <c r="AJ62" i="11"/>
  <c r="AK62" i="11"/>
  <c r="AL62" i="11"/>
  <c r="CI62" i="11"/>
  <c r="CJ62" i="11"/>
  <c r="CK62" i="11"/>
  <c r="CL62" i="11"/>
  <c r="CM62" i="11"/>
  <c r="CN62" i="11"/>
  <c r="CO62" i="11"/>
  <c r="CP62" i="11"/>
  <c r="CQ62" i="11"/>
  <c r="CR62" i="11"/>
  <c r="CS62" i="11"/>
  <c r="CT62" i="11"/>
  <c r="CU62" i="11"/>
  <c r="CW62" i="11"/>
  <c r="CX62" i="11" s="1"/>
  <c r="CY62" i="11" s="1"/>
  <c r="AT31" i="11"/>
  <c r="AT30" i="11"/>
  <c r="F28" i="11"/>
  <c r="G28" i="11"/>
  <c r="H28" i="11"/>
  <c r="I28" i="11"/>
  <c r="J28" i="11"/>
  <c r="K28" i="11"/>
  <c r="L28" i="11"/>
  <c r="M28" i="11"/>
  <c r="N28" i="11"/>
  <c r="O28" i="11"/>
  <c r="F29" i="11"/>
  <c r="G29" i="11"/>
  <c r="H29" i="11"/>
  <c r="I29" i="11"/>
  <c r="J29" i="11"/>
  <c r="K29" i="11"/>
  <c r="L29" i="11"/>
  <c r="M29" i="11"/>
  <c r="N29" i="11"/>
  <c r="O29" i="11"/>
  <c r="F30" i="11"/>
  <c r="G30" i="11"/>
  <c r="H30" i="11"/>
  <c r="I30" i="11"/>
  <c r="J30" i="11"/>
  <c r="K30" i="11"/>
  <c r="L30" i="11"/>
  <c r="M30" i="11"/>
  <c r="N30" i="11"/>
  <c r="O30" i="11"/>
  <c r="F31" i="11"/>
  <c r="G31" i="11"/>
  <c r="H31" i="11"/>
  <c r="I31" i="11"/>
  <c r="J31" i="11"/>
  <c r="K31" i="11"/>
  <c r="L31" i="11"/>
  <c r="M31" i="11"/>
  <c r="N31" i="11"/>
  <c r="O31" i="11"/>
  <c r="F33" i="11"/>
  <c r="G33" i="11"/>
  <c r="H33" i="11"/>
  <c r="I33" i="11"/>
  <c r="J33" i="11"/>
  <c r="K33" i="11"/>
  <c r="L33" i="11"/>
  <c r="M33" i="11"/>
  <c r="N33" i="11"/>
  <c r="O33" i="11"/>
  <c r="F34" i="11"/>
  <c r="G34" i="11"/>
  <c r="H34" i="11"/>
  <c r="I34" i="11"/>
  <c r="J34" i="11"/>
  <c r="K34" i="11"/>
  <c r="L34" i="11"/>
  <c r="M34" i="11"/>
  <c r="N34" i="11"/>
  <c r="O34" i="11"/>
  <c r="F35" i="11"/>
  <c r="G35" i="11"/>
  <c r="H35" i="11"/>
  <c r="I35" i="11"/>
  <c r="J35" i="11"/>
  <c r="K35" i="11"/>
  <c r="L35" i="11"/>
  <c r="M35" i="11"/>
  <c r="N35" i="11"/>
  <c r="O35" i="11"/>
  <c r="F36" i="11"/>
  <c r="G36" i="11"/>
  <c r="H36" i="11"/>
  <c r="I36" i="11"/>
  <c r="J36" i="11"/>
  <c r="K36" i="11"/>
  <c r="L36" i="11"/>
  <c r="M36" i="11"/>
  <c r="N36" i="11"/>
  <c r="O36" i="11"/>
  <c r="F38" i="11"/>
  <c r="G38" i="11"/>
  <c r="H38" i="11"/>
  <c r="I38" i="11"/>
  <c r="J38" i="11"/>
  <c r="K38" i="11"/>
  <c r="L38" i="11"/>
  <c r="M38" i="11"/>
  <c r="N38" i="11"/>
  <c r="O38" i="11"/>
  <c r="F39" i="11"/>
  <c r="G39" i="11"/>
  <c r="H39" i="11"/>
  <c r="I39" i="11"/>
  <c r="J39" i="11"/>
  <c r="K39" i="11"/>
  <c r="L39" i="11"/>
  <c r="M39" i="11"/>
  <c r="N39" i="11"/>
  <c r="O39" i="11"/>
  <c r="F40" i="11"/>
  <c r="G40" i="11"/>
  <c r="H40" i="11"/>
  <c r="I40" i="11"/>
  <c r="J40" i="11"/>
  <c r="K40" i="11"/>
  <c r="L40" i="11"/>
  <c r="M40" i="11"/>
  <c r="N40" i="11"/>
  <c r="O40" i="11"/>
  <c r="F41" i="11"/>
  <c r="G41" i="11"/>
  <c r="H41" i="11"/>
  <c r="I41" i="11"/>
  <c r="J41" i="11"/>
  <c r="K41" i="11"/>
  <c r="L41" i="11"/>
  <c r="M41" i="11"/>
  <c r="N41" i="11"/>
  <c r="O41" i="11"/>
  <c r="E41" i="11"/>
  <c r="D41" i="11"/>
  <c r="E40" i="11"/>
  <c r="D40" i="11"/>
  <c r="E39" i="11"/>
  <c r="D39" i="11"/>
  <c r="E38" i="11"/>
  <c r="D38" i="11"/>
  <c r="E36" i="11"/>
  <c r="D36" i="11"/>
  <c r="E35" i="11"/>
  <c r="D35" i="11"/>
  <c r="E34" i="11"/>
  <c r="D34" i="11"/>
  <c r="E33" i="11"/>
  <c r="D33" i="11"/>
  <c r="E31" i="11"/>
  <c r="D31" i="11"/>
  <c r="E30" i="11"/>
  <c r="E29" i="11"/>
  <c r="D29" i="11"/>
  <c r="E28" i="11"/>
  <c r="D28" i="11"/>
  <c r="CI87" i="11"/>
  <c r="CJ87" i="11"/>
  <c r="CK87" i="11"/>
  <c r="CL87" i="11"/>
  <c r="CM87" i="11"/>
  <c r="CN87" i="11"/>
  <c r="CO87" i="11"/>
  <c r="CP87" i="11"/>
  <c r="CQ87" i="11"/>
  <c r="CR87" i="11"/>
  <c r="CS87" i="11"/>
  <c r="CU87" i="11"/>
  <c r="CW87" i="11"/>
  <c r="CX87" i="11" s="1"/>
  <c r="CI88" i="11"/>
  <c r="CJ88" i="11"/>
  <c r="CK88" i="11"/>
  <c r="CL88" i="11"/>
  <c r="CM88" i="11"/>
  <c r="CN88" i="11"/>
  <c r="CO88" i="11"/>
  <c r="CP88" i="11"/>
  <c r="CQ88" i="11"/>
  <c r="CR88" i="11"/>
  <c r="CS88" i="11"/>
  <c r="CU88" i="11"/>
  <c r="CW88" i="11"/>
  <c r="CX88" i="11" s="1"/>
  <c r="CY88" i="11" s="1"/>
  <c r="CI89" i="11"/>
  <c r="CJ89" i="11"/>
  <c r="CK89" i="11"/>
  <c r="CL89" i="11"/>
  <c r="CM89" i="11"/>
  <c r="CN89" i="11"/>
  <c r="CO89" i="11"/>
  <c r="CP89" i="11"/>
  <c r="CQ89" i="11"/>
  <c r="CR89" i="11"/>
  <c r="CS89" i="11"/>
  <c r="CU89" i="11"/>
  <c r="CW89" i="11"/>
  <c r="CX89" i="11" s="1"/>
  <c r="CY89" i="11" s="1"/>
  <c r="CI90" i="11"/>
  <c r="CJ90" i="11"/>
  <c r="CK90" i="11"/>
  <c r="CL90" i="11"/>
  <c r="CM90" i="11"/>
  <c r="CN90" i="11"/>
  <c r="CO90" i="11"/>
  <c r="CP90" i="11"/>
  <c r="CQ90" i="11"/>
  <c r="CR90" i="11"/>
  <c r="CS90" i="11"/>
  <c r="CU90" i="11"/>
  <c r="CW90" i="11"/>
  <c r="CX90" i="11" s="1"/>
  <c r="CI91" i="11"/>
  <c r="CJ91" i="11"/>
  <c r="CK91" i="11"/>
  <c r="CL91" i="11"/>
  <c r="CM91" i="11"/>
  <c r="CN91" i="11"/>
  <c r="CO91" i="11"/>
  <c r="CP91" i="11"/>
  <c r="CQ91" i="11"/>
  <c r="CR91" i="11"/>
  <c r="CS91" i="11"/>
  <c r="CU91" i="11"/>
  <c r="CW91" i="11"/>
  <c r="CX91" i="11" s="1"/>
  <c r="CI92" i="11"/>
  <c r="CJ92" i="11"/>
  <c r="CK92" i="11"/>
  <c r="CL92" i="11"/>
  <c r="CM92" i="11"/>
  <c r="CN92" i="11"/>
  <c r="CO92" i="11"/>
  <c r="CP92" i="11"/>
  <c r="CQ92" i="11"/>
  <c r="CR92" i="11"/>
  <c r="CS92" i="11"/>
  <c r="CU92" i="11"/>
  <c r="CW92" i="11"/>
  <c r="CX92" i="11" s="1"/>
  <c r="CI93" i="11"/>
  <c r="CJ93" i="11"/>
  <c r="CK93" i="11"/>
  <c r="CL93" i="11"/>
  <c r="CM93" i="11"/>
  <c r="CN93" i="11"/>
  <c r="CO93" i="11"/>
  <c r="CP93" i="11"/>
  <c r="CQ93" i="11"/>
  <c r="CR93" i="11"/>
  <c r="CS93" i="11"/>
  <c r="CU93" i="11"/>
  <c r="CW93" i="11"/>
  <c r="CX93" i="11" s="1"/>
  <c r="CI94" i="11"/>
  <c r="CJ94" i="11"/>
  <c r="CK94" i="11"/>
  <c r="CL94" i="11"/>
  <c r="CM94" i="11"/>
  <c r="CN94" i="11"/>
  <c r="CO94" i="11"/>
  <c r="CP94" i="11"/>
  <c r="CQ94" i="11"/>
  <c r="CR94" i="11"/>
  <c r="CS94" i="11"/>
  <c r="CU94" i="11"/>
  <c r="CW94" i="11"/>
  <c r="CX94" i="11" s="1"/>
  <c r="CI95" i="11"/>
  <c r="CJ95" i="11"/>
  <c r="CK95" i="11"/>
  <c r="CL95" i="11"/>
  <c r="CM95" i="11"/>
  <c r="CN95" i="11"/>
  <c r="CO95" i="11"/>
  <c r="CP95" i="11"/>
  <c r="CQ95" i="11"/>
  <c r="CR95" i="11"/>
  <c r="CS95" i="11"/>
  <c r="CU95" i="11"/>
  <c r="CW95" i="11"/>
  <c r="CX95" i="11" s="1"/>
  <c r="CI96" i="11"/>
  <c r="CJ96" i="11"/>
  <c r="CK96" i="11"/>
  <c r="CL96" i="11"/>
  <c r="CM96" i="11"/>
  <c r="CN96" i="11"/>
  <c r="CO96" i="11"/>
  <c r="CP96" i="11"/>
  <c r="CQ96" i="11"/>
  <c r="CR96" i="11"/>
  <c r="CS96" i="11"/>
  <c r="CU96" i="11"/>
  <c r="CW96" i="11"/>
  <c r="CX96" i="11" s="1"/>
  <c r="CY96" i="11" s="1"/>
  <c r="AJ46" i="11"/>
  <c r="AK46" i="11"/>
  <c r="AL46" i="11"/>
  <c r="AJ47" i="11"/>
  <c r="AK47" i="11"/>
  <c r="AL47" i="11"/>
  <c r="AJ48" i="11"/>
  <c r="AK48" i="11"/>
  <c r="AL48" i="11"/>
  <c r="AJ49" i="11"/>
  <c r="AK49" i="11"/>
  <c r="AL49" i="11"/>
  <c r="AJ50" i="11"/>
  <c r="AK50" i="11"/>
  <c r="AL50" i="11"/>
  <c r="AJ51" i="11"/>
  <c r="AK51" i="11"/>
  <c r="AL51" i="11"/>
  <c r="AJ52" i="11"/>
  <c r="AK52" i="11"/>
  <c r="AL52" i="11"/>
  <c r="AJ53" i="11"/>
  <c r="AK53" i="11"/>
  <c r="AL53" i="11"/>
  <c r="AJ54" i="11"/>
  <c r="AK54" i="11"/>
  <c r="AL54" i="11"/>
  <c r="AJ55" i="11"/>
  <c r="AK55" i="11"/>
  <c r="AL55" i="11"/>
  <c r="AJ56" i="11"/>
  <c r="AK56" i="11"/>
  <c r="AL56" i="11"/>
  <c r="AJ57" i="11"/>
  <c r="AK57" i="11"/>
  <c r="AL57" i="11"/>
  <c r="AJ58" i="11"/>
  <c r="AK58" i="11"/>
  <c r="AL58" i="11"/>
  <c r="AJ59" i="11"/>
  <c r="AK59" i="11"/>
  <c r="AL59" i="11"/>
  <c r="AJ60" i="11"/>
  <c r="AK60" i="11"/>
  <c r="AL60" i="11"/>
  <c r="AJ61" i="11"/>
  <c r="AK61" i="11"/>
  <c r="AL61" i="11"/>
  <c r="AJ63" i="11"/>
  <c r="AK63" i="11"/>
  <c r="AL63" i="11"/>
  <c r="AJ64" i="11"/>
  <c r="AK64" i="11"/>
  <c r="AL64" i="11"/>
  <c r="AJ65" i="11"/>
  <c r="AK65" i="11"/>
  <c r="AL65" i="11"/>
  <c r="AJ66" i="11"/>
  <c r="AK66" i="11"/>
  <c r="AL66" i="11"/>
  <c r="AJ67" i="11"/>
  <c r="AK67" i="11"/>
  <c r="AJ68" i="11"/>
  <c r="AK68" i="11"/>
  <c r="AL68" i="11"/>
  <c r="AJ69" i="11"/>
  <c r="AK69" i="11"/>
  <c r="AL69" i="11"/>
  <c r="AJ70" i="11"/>
  <c r="AK70" i="11"/>
  <c r="AL70" i="11"/>
  <c r="AJ71" i="11"/>
  <c r="AK71" i="11"/>
  <c r="AL71" i="11"/>
  <c r="AJ72" i="11"/>
  <c r="AK72" i="11"/>
  <c r="AL72" i="11"/>
  <c r="AJ73" i="11"/>
  <c r="AK73" i="11"/>
  <c r="AL73" i="11"/>
  <c r="AJ74" i="11"/>
  <c r="AK74" i="11"/>
  <c r="AL74" i="11"/>
  <c r="AJ75" i="11"/>
  <c r="AK75" i="11"/>
  <c r="AL75" i="11"/>
  <c r="AJ76" i="11"/>
  <c r="AK76" i="11"/>
  <c r="AL76" i="11"/>
  <c r="AJ77" i="11"/>
  <c r="AK77" i="11"/>
  <c r="AL77" i="11"/>
  <c r="AJ79" i="11"/>
  <c r="AK79" i="11"/>
  <c r="AL79" i="11"/>
  <c r="AJ80" i="11"/>
  <c r="AK80" i="11"/>
  <c r="AL80" i="11"/>
  <c r="AJ81" i="11"/>
  <c r="AK81" i="11"/>
  <c r="AL81" i="11"/>
  <c r="AJ82" i="11"/>
  <c r="AK82" i="11"/>
  <c r="AL82" i="11"/>
  <c r="AJ83" i="11"/>
  <c r="AK83" i="11"/>
  <c r="AL83" i="11"/>
  <c r="AJ84" i="11"/>
  <c r="AK84" i="11"/>
  <c r="AL84" i="11"/>
  <c r="AJ85" i="11"/>
  <c r="AK85" i="11"/>
  <c r="AL85" i="11"/>
  <c r="AJ87" i="11"/>
  <c r="AK87" i="11"/>
  <c r="AL87" i="11"/>
  <c r="AJ88" i="11"/>
  <c r="AK88" i="11"/>
  <c r="AL88" i="11"/>
  <c r="AJ89" i="11"/>
  <c r="AK89" i="11"/>
  <c r="AL89" i="11"/>
  <c r="AJ90" i="11"/>
  <c r="AK90" i="11"/>
  <c r="AL90" i="11"/>
  <c r="AJ91" i="11"/>
  <c r="AK91" i="11"/>
  <c r="AL91" i="11"/>
  <c r="AJ92" i="11"/>
  <c r="AK92" i="11"/>
  <c r="AL92" i="11"/>
  <c r="AJ93" i="11"/>
  <c r="AK93" i="11"/>
  <c r="AL93" i="11"/>
  <c r="AJ94" i="11"/>
  <c r="AK94" i="11"/>
  <c r="AL94" i="11"/>
  <c r="AJ95" i="11"/>
  <c r="AK95" i="11"/>
  <c r="AL95" i="11"/>
  <c r="AJ96" i="11"/>
  <c r="AK96" i="11"/>
  <c r="AL96" i="11"/>
  <c r="CT81" i="11"/>
  <c r="CT82" i="11"/>
  <c r="CT84" i="11"/>
  <c r="CI79" i="11"/>
  <c r="CJ79" i="11"/>
  <c r="CK79" i="11"/>
  <c r="CL79" i="11"/>
  <c r="CM79" i="11"/>
  <c r="CN79" i="11"/>
  <c r="CO79" i="11"/>
  <c r="CP79" i="11"/>
  <c r="CQ79" i="11"/>
  <c r="CR79" i="11"/>
  <c r="CS79" i="11"/>
  <c r="CU79" i="11"/>
  <c r="CW79" i="11"/>
  <c r="CX79" i="11" s="1"/>
  <c r="CI80" i="11"/>
  <c r="CJ80" i="11"/>
  <c r="CK80" i="11"/>
  <c r="CL80" i="11"/>
  <c r="CM80" i="11"/>
  <c r="CN80" i="11"/>
  <c r="CO80" i="11"/>
  <c r="CP80" i="11"/>
  <c r="CQ80" i="11"/>
  <c r="CR80" i="11"/>
  <c r="CS80" i="11"/>
  <c r="CU80" i="11"/>
  <c r="CW80" i="11"/>
  <c r="CX80" i="11" s="1"/>
  <c r="CY80" i="11" s="1"/>
  <c r="CI81" i="11"/>
  <c r="CJ81" i="11"/>
  <c r="CK81" i="11"/>
  <c r="CL81" i="11"/>
  <c r="CM81" i="11"/>
  <c r="CN81" i="11"/>
  <c r="CO81" i="11"/>
  <c r="CP81" i="11"/>
  <c r="CQ81" i="11"/>
  <c r="CR81" i="11"/>
  <c r="CS81" i="11"/>
  <c r="CU81" i="11"/>
  <c r="CW81" i="11"/>
  <c r="CX81" i="11" s="1"/>
  <c r="CI82" i="11"/>
  <c r="CJ82" i="11"/>
  <c r="CK82" i="11"/>
  <c r="CL82" i="11"/>
  <c r="CM82" i="11"/>
  <c r="CN82" i="11"/>
  <c r="CO82" i="11"/>
  <c r="CP82" i="11"/>
  <c r="CQ82" i="11"/>
  <c r="CR82" i="11"/>
  <c r="CS82" i="11"/>
  <c r="CU82" i="11"/>
  <c r="CW82" i="11"/>
  <c r="CX82" i="11" s="1"/>
  <c r="CI83" i="11"/>
  <c r="CJ83" i="11"/>
  <c r="CK83" i="11"/>
  <c r="CL83" i="11"/>
  <c r="CM83" i="11"/>
  <c r="CN83" i="11"/>
  <c r="CO83" i="11"/>
  <c r="CP83" i="11"/>
  <c r="CQ83" i="11"/>
  <c r="CR83" i="11"/>
  <c r="CS83" i="11"/>
  <c r="CU83" i="11"/>
  <c r="CW83" i="11"/>
  <c r="CX83" i="11" s="1"/>
  <c r="CI84" i="11"/>
  <c r="CJ84" i="11"/>
  <c r="CK84" i="11"/>
  <c r="CL84" i="11"/>
  <c r="CM84" i="11"/>
  <c r="CN84" i="11"/>
  <c r="CO84" i="11"/>
  <c r="CP84" i="11"/>
  <c r="CQ84" i="11"/>
  <c r="CR84" i="11"/>
  <c r="CS84" i="11"/>
  <c r="CU84" i="11"/>
  <c r="CW84" i="11"/>
  <c r="CX84" i="11" s="1"/>
  <c r="CI46" i="11"/>
  <c r="CJ46" i="11"/>
  <c r="CK46" i="11"/>
  <c r="CL46" i="11"/>
  <c r="CM46" i="11"/>
  <c r="CN46" i="11"/>
  <c r="CO46" i="11"/>
  <c r="CP46" i="11"/>
  <c r="CQ46" i="11"/>
  <c r="CR46" i="11"/>
  <c r="CS46" i="11"/>
  <c r="CT46" i="11"/>
  <c r="CU46" i="11"/>
  <c r="CW46" i="11"/>
  <c r="CX46" i="11" s="1"/>
  <c r="CI47" i="11"/>
  <c r="CJ47" i="11"/>
  <c r="CK47" i="11"/>
  <c r="CL47" i="11"/>
  <c r="CM47" i="11"/>
  <c r="CO47" i="11"/>
  <c r="CP47" i="11"/>
  <c r="CQ47" i="11"/>
  <c r="CR47" i="11"/>
  <c r="CS47" i="11"/>
  <c r="CT47" i="11"/>
  <c r="CU47" i="11"/>
  <c r="CW47" i="11"/>
  <c r="CX47" i="11" s="1"/>
  <c r="CI48" i="11"/>
  <c r="CJ48" i="11"/>
  <c r="CK48" i="11"/>
  <c r="CL48" i="11"/>
  <c r="CM48" i="11"/>
  <c r="CO48" i="11"/>
  <c r="CP48" i="11"/>
  <c r="CQ48" i="11"/>
  <c r="CR48" i="11"/>
  <c r="CS48" i="11"/>
  <c r="CT48" i="11"/>
  <c r="CU48" i="11"/>
  <c r="CW48" i="11"/>
  <c r="CX48" i="11" s="1"/>
  <c r="CI49" i="11"/>
  <c r="CJ49" i="11"/>
  <c r="CK49" i="11"/>
  <c r="CL49" i="11"/>
  <c r="CM49" i="11"/>
  <c r="CO49" i="11"/>
  <c r="CP49" i="11"/>
  <c r="CQ49" i="11"/>
  <c r="CR49" i="11"/>
  <c r="CS49" i="11"/>
  <c r="CT49" i="11"/>
  <c r="CU49" i="11"/>
  <c r="CW49" i="11"/>
  <c r="CX49" i="11" s="1"/>
  <c r="CI50" i="11"/>
  <c r="CJ50" i="11"/>
  <c r="CK50" i="11"/>
  <c r="CL50" i="11"/>
  <c r="CM50" i="11"/>
  <c r="CO50" i="11"/>
  <c r="CP50" i="11"/>
  <c r="CQ50" i="11"/>
  <c r="CR50" i="11"/>
  <c r="CS50" i="11"/>
  <c r="CT50" i="11"/>
  <c r="CU50" i="11"/>
  <c r="CW50" i="11"/>
  <c r="CX50" i="11" s="1"/>
  <c r="CI51" i="11"/>
  <c r="CJ51" i="11"/>
  <c r="CK51" i="11"/>
  <c r="CL51" i="11"/>
  <c r="CM51" i="11"/>
  <c r="CO51" i="11"/>
  <c r="CP51" i="11"/>
  <c r="CQ51" i="11"/>
  <c r="CR51" i="11"/>
  <c r="CS51" i="11"/>
  <c r="CT51" i="11"/>
  <c r="CU51" i="11"/>
  <c r="CW51" i="11"/>
  <c r="CX51" i="11" s="1"/>
  <c r="CI52" i="11"/>
  <c r="CJ52" i="11"/>
  <c r="CK52" i="11"/>
  <c r="CL52" i="11"/>
  <c r="CM52" i="11"/>
  <c r="CN52" i="11"/>
  <c r="CO52" i="11"/>
  <c r="CP52" i="11"/>
  <c r="CQ52" i="11"/>
  <c r="CR52" i="11"/>
  <c r="CS52" i="11"/>
  <c r="CT52" i="11"/>
  <c r="CU52" i="11"/>
  <c r="CW52" i="11"/>
  <c r="CX52" i="11" s="1"/>
  <c r="CI53" i="11"/>
  <c r="CJ53" i="11"/>
  <c r="CK53" i="11"/>
  <c r="CL53" i="11"/>
  <c r="CM53" i="11"/>
  <c r="CO53" i="11"/>
  <c r="CP53" i="11"/>
  <c r="CQ53" i="11"/>
  <c r="CR53" i="11"/>
  <c r="CS53" i="11"/>
  <c r="CT53" i="11"/>
  <c r="CU53" i="11"/>
  <c r="CW53" i="11"/>
  <c r="CX53" i="11" s="1"/>
  <c r="CI54" i="11"/>
  <c r="CJ54" i="11"/>
  <c r="CK54" i="11"/>
  <c r="CL54" i="11"/>
  <c r="CM54" i="11"/>
  <c r="CO54" i="11"/>
  <c r="CP54" i="11"/>
  <c r="CQ54" i="11"/>
  <c r="CR54" i="11"/>
  <c r="CS54" i="11"/>
  <c r="CT54" i="11"/>
  <c r="CU54" i="11"/>
  <c r="CW54" i="11"/>
  <c r="CX54" i="11" s="1"/>
  <c r="CI55" i="11"/>
  <c r="CJ55" i="11"/>
  <c r="CK55" i="11"/>
  <c r="CL55" i="11"/>
  <c r="CM55" i="11"/>
  <c r="CO55" i="11"/>
  <c r="CP55" i="11"/>
  <c r="CQ55" i="11"/>
  <c r="CR55" i="11"/>
  <c r="CS55" i="11"/>
  <c r="CT55" i="11"/>
  <c r="CU55" i="11"/>
  <c r="CW55" i="11"/>
  <c r="CX55" i="11" s="1"/>
  <c r="CI56" i="11"/>
  <c r="CJ56" i="11"/>
  <c r="CK56" i="11"/>
  <c r="CL56" i="11"/>
  <c r="CM56" i="11"/>
  <c r="CO56" i="11"/>
  <c r="CP56" i="11"/>
  <c r="CQ56" i="11"/>
  <c r="CR56" i="11"/>
  <c r="CS56" i="11"/>
  <c r="CT56" i="11"/>
  <c r="CU56" i="11"/>
  <c r="CW56" i="11"/>
  <c r="CX56" i="11" s="1"/>
  <c r="CI57" i="11"/>
  <c r="CJ57" i="11"/>
  <c r="CK57" i="11"/>
  <c r="CL57" i="11"/>
  <c r="CM57" i="11"/>
  <c r="CN57" i="11"/>
  <c r="CO57" i="11"/>
  <c r="CP57" i="11"/>
  <c r="CQ57" i="11"/>
  <c r="CR57" i="11"/>
  <c r="CS57" i="11"/>
  <c r="CT57" i="11"/>
  <c r="CU57" i="11"/>
  <c r="CW57" i="11"/>
  <c r="CX57" i="11" s="1"/>
  <c r="CI58" i="11"/>
  <c r="CJ58" i="11"/>
  <c r="CK58" i="11"/>
  <c r="CL58" i="11"/>
  <c r="CM58" i="11"/>
  <c r="CN58" i="11"/>
  <c r="CO58" i="11"/>
  <c r="CP58" i="11"/>
  <c r="CQ58" i="11"/>
  <c r="CR58" i="11"/>
  <c r="CS58" i="11"/>
  <c r="CT58" i="11"/>
  <c r="CU58" i="11"/>
  <c r="CW58" i="11"/>
  <c r="CX58" i="11" s="1"/>
  <c r="CI59" i="11"/>
  <c r="CJ59" i="11"/>
  <c r="CK59" i="11"/>
  <c r="CL59" i="11"/>
  <c r="CM59" i="11"/>
  <c r="CN59" i="11"/>
  <c r="CO59" i="11"/>
  <c r="CP59" i="11"/>
  <c r="CQ59" i="11"/>
  <c r="CR59" i="11"/>
  <c r="CS59" i="11"/>
  <c r="CT59" i="11"/>
  <c r="CU59" i="11"/>
  <c r="CW59" i="11"/>
  <c r="CX59" i="11" s="1"/>
  <c r="CI60" i="11"/>
  <c r="CJ60" i="11"/>
  <c r="CK60" i="11"/>
  <c r="CL60" i="11"/>
  <c r="CM60" i="11"/>
  <c r="CN60" i="11"/>
  <c r="CO60" i="11"/>
  <c r="CP60" i="11"/>
  <c r="CQ60" i="11"/>
  <c r="CR60" i="11"/>
  <c r="CS60" i="11"/>
  <c r="CT60" i="11"/>
  <c r="CU60" i="11"/>
  <c r="CW60" i="11"/>
  <c r="CX60" i="11" s="1"/>
  <c r="CZ60" i="11" s="1"/>
  <c r="CI61" i="11"/>
  <c r="CJ61" i="11"/>
  <c r="CK61" i="11"/>
  <c r="CL61" i="11"/>
  <c r="CM61" i="11"/>
  <c r="CN61" i="11"/>
  <c r="CO61" i="11"/>
  <c r="CP61" i="11"/>
  <c r="CQ61" i="11"/>
  <c r="CR61" i="11"/>
  <c r="CS61" i="11"/>
  <c r="CT61" i="11"/>
  <c r="CU61" i="11"/>
  <c r="CW61" i="11"/>
  <c r="CX61" i="11" s="1"/>
  <c r="CI63" i="11"/>
  <c r="CJ63" i="11"/>
  <c r="CK63" i="11"/>
  <c r="CL63" i="11"/>
  <c r="CM63" i="11"/>
  <c r="CN63" i="11"/>
  <c r="CO63" i="11"/>
  <c r="CP63" i="11"/>
  <c r="CQ63" i="11"/>
  <c r="CR63" i="11"/>
  <c r="CS63" i="11"/>
  <c r="CT63" i="11"/>
  <c r="CU63" i="11"/>
  <c r="CW63" i="11"/>
  <c r="CX63" i="11" s="1"/>
  <c r="CY63" i="11" s="1"/>
  <c r="CI64" i="11"/>
  <c r="CJ64" i="11"/>
  <c r="CK64" i="11"/>
  <c r="CL64" i="11"/>
  <c r="CM64" i="11"/>
  <c r="CN64" i="11"/>
  <c r="CO64" i="11"/>
  <c r="CP64" i="11"/>
  <c r="CQ64" i="11"/>
  <c r="CR64" i="11"/>
  <c r="CS64" i="11"/>
  <c r="CT64" i="11"/>
  <c r="CU64" i="11"/>
  <c r="CW64" i="11"/>
  <c r="CX64" i="11" s="1"/>
  <c r="CI65" i="11"/>
  <c r="CJ65" i="11"/>
  <c r="CK65" i="11"/>
  <c r="CL65" i="11"/>
  <c r="CM65" i="11"/>
  <c r="CN65" i="11"/>
  <c r="CO65" i="11"/>
  <c r="CP65" i="11"/>
  <c r="CQ65" i="11"/>
  <c r="CR65" i="11"/>
  <c r="CS65" i="11"/>
  <c r="CT65" i="11"/>
  <c r="CU65" i="11"/>
  <c r="CW65" i="11"/>
  <c r="CX65" i="11" s="1"/>
  <c r="CY65" i="11" s="1"/>
  <c r="CI66" i="11"/>
  <c r="CJ66" i="11"/>
  <c r="CK66" i="11"/>
  <c r="CL66" i="11"/>
  <c r="CM66" i="11"/>
  <c r="CN66" i="11"/>
  <c r="CO66" i="11"/>
  <c r="CP66" i="11"/>
  <c r="CQ66" i="11"/>
  <c r="CR66" i="11"/>
  <c r="CS66" i="11"/>
  <c r="CT66" i="11"/>
  <c r="CU66" i="11"/>
  <c r="CW66" i="11"/>
  <c r="CX66" i="11" s="1"/>
  <c r="CI67" i="11"/>
  <c r="CJ67" i="11"/>
  <c r="CK67" i="11"/>
  <c r="CL67" i="11"/>
  <c r="CM67" i="11"/>
  <c r="CN67" i="11"/>
  <c r="CO67" i="11"/>
  <c r="CP67" i="11"/>
  <c r="CQ67" i="11"/>
  <c r="CR67" i="11"/>
  <c r="CS67" i="11"/>
  <c r="CT67" i="11"/>
  <c r="CI68" i="11"/>
  <c r="CJ68" i="11"/>
  <c r="CK68" i="11"/>
  <c r="CL68" i="11"/>
  <c r="CM68" i="11"/>
  <c r="CN68" i="11"/>
  <c r="CO68" i="11"/>
  <c r="CP68" i="11"/>
  <c r="CQ68" i="11"/>
  <c r="CR68" i="11"/>
  <c r="CS68" i="11"/>
  <c r="CT68" i="11"/>
  <c r="CU68" i="11"/>
  <c r="CW68" i="11"/>
  <c r="CX68" i="11" s="1"/>
  <c r="CY68" i="11" s="1"/>
  <c r="CI69" i="11"/>
  <c r="CJ69" i="11"/>
  <c r="CK69" i="11"/>
  <c r="CL69" i="11"/>
  <c r="CM69" i="11"/>
  <c r="CN69" i="11"/>
  <c r="CO69" i="11"/>
  <c r="CP69" i="11"/>
  <c r="CQ69" i="11"/>
  <c r="CR69" i="11"/>
  <c r="CS69" i="11"/>
  <c r="CT69" i="11"/>
  <c r="CU69" i="11"/>
  <c r="CW69" i="11"/>
  <c r="CX69" i="11" s="1"/>
  <c r="CI70" i="11"/>
  <c r="CJ70" i="11"/>
  <c r="CK70" i="11"/>
  <c r="CL70" i="11"/>
  <c r="CM70" i="11"/>
  <c r="CN70" i="11"/>
  <c r="CO70" i="11"/>
  <c r="CP70" i="11"/>
  <c r="CQ70" i="11"/>
  <c r="CR70" i="11"/>
  <c r="CS70" i="11"/>
  <c r="CT70" i="11"/>
  <c r="CU70" i="11"/>
  <c r="CW70" i="11"/>
  <c r="CX70" i="11" s="1"/>
  <c r="CI71" i="11"/>
  <c r="CJ71" i="11"/>
  <c r="CK71" i="11"/>
  <c r="CL71" i="11"/>
  <c r="CM71" i="11"/>
  <c r="CN71" i="11"/>
  <c r="CO71" i="11"/>
  <c r="CP71" i="11"/>
  <c r="CQ71" i="11"/>
  <c r="CR71" i="11"/>
  <c r="CS71" i="11"/>
  <c r="CT71" i="11"/>
  <c r="CU71" i="11"/>
  <c r="CW71" i="11"/>
  <c r="CX71" i="11" s="1"/>
  <c r="CI72" i="11"/>
  <c r="CJ72" i="11"/>
  <c r="CK72" i="11"/>
  <c r="CL72" i="11"/>
  <c r="CM72" i="11"/>
  <c r="CN72" i="11"/>
  <c r="CO72" i="11"/>
  <c r="CP72" i="11"/>
  <c r="CQ72" i="11"/>
  <c r="CR72" i="11"/>
  <c r="CS72" i="11"/>
  <c r="CT72" i="11"/>
  <c r="CU72" i="11"/>
  <c r="CW72" i="11"/>
  <c r="CX72" i="11" s="1"/>
  <c r="CI73" i="11"/>
  <c r="CJ73" i="11"/>
  <c r="CK73" i="11"/>
  <c r="CL73" i="11"/>
  <c r="CM73" i="11"/>
  <c r="CO73" i="11"/>
  <c r="CP73" i="11"/>
  <c r="CQ73" i="11"/>
  <c r="CR73" i="11"/>
  <c r="CS73" i="11"/>
  <c r="CT73" i="11"/>
  <c r="CU73" i="11"/>
  <c r="CW73" i="11"/>
  <c r="CX73" i="11" s="1"/>
  <c r="CI74" i="11"/>
  <c r="CJ74" i="11"/>
  <c r="CK74" i="11"/>
  <c r="CL74" i="11"/>
  <c r="CM74" i="11"/>
  <c r="CN74" i="11"/>
  <c r="CO74" i="11"/>
  <c r="CP74" i="11"/>
  <c r="CQ74" i="11"/>
  <c r="CR74" i="11"/>
  <c r="CS74" i="11"/>
  <c r="CT74" i="11"/>
  <c r="CU74" i="11"/>
  <c r="CW74" i="11"/>
  <c r="CX74" i="11" s="1"/>
  <c r="CI75" i="11"/>
  <c r="CJ75" i="11"/>
  <c r="CK75" i="11"/>
  <c r="CL75" i="11"/>
  <c r="CM75" i="11"/>
  <c r="CN75" i="11"/>
  <c r="CO75" i="11"/>
  <c r="CP75" i="11"/>
  <c r="CQ75" i="11"/>
  <c r="CR75" i="11"/>
  <c r="CS75" i="11"/>
  <c r="CT75" i="11"/>
  <c r="CU75" i="11"/>
  <c r="CW75" i="11"/>
  <c r="CX75" i="11" s="1"/>
  <c r="CI76" i="11"/>
  <c r="CJ76" i="11"/>
  <c r="CK76" i="11"/>
  <c r="CL76" i="11"/>
  <c r="CM76" i="11"/>
  <c r="CN76" i="11"/>
  <c r="CO76" i="11"/>
  <c r="CP76" i="11"/>
  <c r="CQ76" i="11"/>
  <c r="CR76" i="11"/>
  <c r="CS76" i="11"/>
  <c r="CT76" i="11"/>
  <c r="CU76" i="11"/>
  <c r="CW76" i="11"/>
  <c r="CX76" i="11" s="1"/>
  <c r="CZ76" i="11" s="1"/>
  <c r="CI19" i="12" l="1"/>
  <c r="CI20" i="12"/>
  <c r="CI21" i="12"/>
  <c r="CI22" i="12"/>
  <c r="CJ22" i="12"/>
  <c r="CJ19" i="12"/>
  <c r="CJ20" i="12"/>
  <c r="CJ21" i="12"/>
  <c r="CK19" i="12"/>
  <c r="CK20" i="12"/>
  <c r="CK21" i="12"/>
  <c r="CK22" i="12"/>
  <c r="CM19" i="12"/>
  <c r="CM20" i="12"/>
  <c r="CM21" i="12"/>
  <c r="CM22" i="12"/>
  <c r="CL19" i="12"/>
  <c r="CL20" i="12"/>
  <c r="CL21" i="12"/>
  <c r="CL22" i="12"/>
  <c r="CN19" i="12"/>
  <c r="CN20" i="12"/>
  <c r="CN21" i="12"/>
  <c r="CN22" i="12"/>
  <c r="CO19" i="12"/>
  <c r="CO20" i="12"/>
  <c r="CO21" i="12"/>
  <c r="CO22" i="12"/>
  <c r="CP21" i="12"/>
  <c r="CP20" i="12"/>
  <c r="CP22" i="12"/>
  <c r="CP19" i="12"/>
  <c r="CQ19" i="12"/>
  <c r="CQ20" i="12"/>
  <c r="CQ21" i="12"/>
  <c r="CQ22" i="12"/>
  <c r="CR21" i="12"/>
  <c r="CR19" i="12"/>
  <c r="CR20" i="12"/>
  <c r="CR22" i="12"/>
  <c r="CS21" i="12"/>
  <c r="CS20" i="12"/>
  <c r="CS22" i="12"/>
  <c r="CS19" i="12"/>
  <c r="CU37" i="12"/>
  <c r="CT20" i="12"/>
  <c r="CT21" i="12"/>
  <c r="CT22" i="12"/>
  <c r="CT19" i="12"/>
  <c r="CG22" i="12"/>
  <c r="CG21" i="12"/>
  <c r="CG20" i="12"/>
  <c r="CG19" i="12"/>
  <c r="CH19" i="12"/>
  <c r="CH20" i="12"/>
  <c r="CH21" i="12"/>
  <c r="CH22" i="12"/>
  <c r="CG32" i="12"/>
  <c r="CG31" i="12"/>
  <c r="CG30" i="12"/>
  <c r="CG29" i="12"/>
  <c r="CH29" i="12"/>
  <c r="CH30" i="12"/>
  <c r="CH31" i="12"/>
  <c r="CH32" i="12"/>
  <c r="CI29" i="12"/>
  <c r="CI30" i="12"/>
  <c r="CI31" i="12"/>
  <c r="CI32" i="12"/>
  <c r="CJ29" i="12"/>
  <c r="CJ30" i="12"/>
  <c r="CJ31" i="12"/>
  <c r="CJ32" i="12"/>
  <c r="CK32" i="12"/>
  <c r="CK29" i="12"/>
  <c r="CK30" i="12"/>
  <c r="CK31" i="12"/>
  <c r="CL29" i="12"/>
  <c r="CL30" i="12"/>
  <c r="CL31" i="12"/>
  <c r="CL32" i="12"/>
  <c r="CM30" i="12"/>
  <c r="CM31" i="12"/>
  <c r="CM29" i="12"/>
  <c r="CM32" i="12"/>
  <c r="CN31" i="12"/>
  <c r="CN32" i="12"/>
  <c r="CN30" i="12"/>
  <c r="CN29" i="12"/>
  <c r="CO31" i="12"/>
  <c r="CO29" i="12"/>
  <c r="CO30" i="12"/>
  <c r="CO32" i="12"/>
  <c r="CP31" i="12"/>
  <c r="CP32" i="12"/>
  <c r="CP29" i="12"/>
  <c r="CP30" i="12"/>
  <c r="CQ30" i="12"/>
  <c r="CQ32" i="12"/>
  <c r="CQ29" i="12"/>
  <c r="CQ31" i="12"/>
  <c r="CR32" i="12"/>
  <c r="CR29" i="12"/>
  <c r="CR30" i="12"/>
  <c r="CR31" i="12"/>
  <c r="CS31" i="12"/>
  <c r="CS32" i="12"/>
  <c r="CS30" i="12"/>
  <c r="CS29" i="12"/>
  <c r="CU16" i="12"/>
  <c r="CW16" i="12" s="1"/>
  <c r="CT31" i="12"/>
  <c r="CT32" i="12"/>
  <c r="CT30" i="12"/>
  <c r="CT29" i="12"/>
  <c r="CR27" i="12"/>
  <c r="CH24" i="12"/>
  <c r="CG25" i="12"/>
  <c r="CI24" i="12"/>
  <c r="CV5" i="12"/>
  <c r="CW5" i="12"/>
  <c r="CW54" i="12"/>
  <c r="CV54" i="12"/>
  <c r="CS23" i="12"/>
  <c r="CS24" i="12"/>
  <c r="CH33" i="12"/>
  <c r="CG24" i="12"/>
  <c r="CK24" i="12"/>
  <c r="CT24" i="12"/>
  <c r="CH26" i="12"/>
  <c r="CJ28" i="12"/>
  <c r="CL24" i="12"/>
  <c r="CM25" i="12"/>
  <c r="CJ24" i="12"/>
  <c r="CN25" i="12"/>
  <c r="CO26" i="12"/>
  <c r="CJ23" i="12"/>
  <c r="CP26" i="12"/>
  <c r="CQ23" i="12"/>
  <c r="CQ28" i="12"/>
  <c r="CR23" i="12"/>
  <c r="CW47" i="12"/>
  <c r="CV47" i="12"/>
  <c r="CW6" i="12"/>
  <c r="CV6" i="12"/>
  <c r="CW7" i="12"/>
  <c r="CV7" i="12"/>
  <c r="CW48" i="12"/>
  <c r="CV48" i="12"/>
  <c r="CU23" i="12"/>
  <c r="CW8" i="12"/>
  <c r="CV8" i="12"/>
  <c r="CW9" i="12"/>
  <c r="CV9" i="12"/>
  <c r="CW51" i="12"/>
  <c r="CV51" i="12"/>
  <c r="CW49" i="12"/>
  <c r="CV49" i="12"/>
  <c r="CW52" i="12"/>
  <c r="CV52" i="12"/>
  <c r="CW62" i="12"/>
  <c r="CV62" i="12"/>
  <c r="CW11" i="12"/>
  <c r="CV11" i="12"/>
  <c r="CW53" i="12"/>
  <c r="CV53" i="12"/>
  <c r="CW12" i="12"/>
  <c r="CV12" i="12"/>
  <c r="CW63" i="12"/>
  <c r="CV63" i="12"/>
  <c r="CW64" i="12"/>
  <c r="CV64" i="12"/>
  <c r="CW65" i="12"/>
  <c r="CV65" i="12"/>
  <c r="CW14" i="12"/>
  <c r="CV14" i="12"/>
  <c r="CW15" i="12"/>
  <c r="CV15" i="12"/>
  <c r="CW40" i="12"/>
  <c r="CV40" i="12"/>
  <c r="CW45" i="12"/>
  <c r="CV45" i="12"/>
  <c r="CW17" i="12"/>
  <c r="CV17" i="12"/>
  <c r="CW46" i="12"/>
  <c r="CV46" i="12"/>
  <c r="CW4" i="12"/>
  <c r="CV4" i="12"/>
  <c r="CK23" i="12"/>
  <c r="CM24" i="12"/>
  <c r="CO25" i="12"/>
  <c r="CQ26" i="12"/>
  <c r="CS27" i="12"/>
  <c r="CR28" i="12"/>
  <c r="CI33" i="12"/>
  <c r="CU10" i="12"/>
  <c r="CU26" i="12" s="1"/>
  <c r="CL23" i="12"/>
  <c r="CN24" i="12"/>
  <c r="CP25" i="12"/>
  <c r="CR26" i="12"/>
  <c r="CT27" i="12"/>
  <c r="CS28" i="12"/>
  <c r="CJ33" i="12"/>
  <c r="CV57" i="12"/>
  <c r="CM23" i="12"/>
  <c r="CO24" i="12"/>
  <c r="CQ25" i="12"/>
  <c r="CS26" i="12"/>
  <c r="CT28" i="12"/>
  <c r="CK33" i="12"/>
  <c r="CN23" i="12"/>
  <c r="CP24" i="12"/>
  <c r="CR25" i="12"/>
  <c r="CT26" i="12"/>
  <c r="CL33" i="12"/>
  <c r="CO23" i="12"/>
  <c r="CQ24" i="12"/>
  <c r="CS25" i="12"/>
  <c r="CG27" i="12"/>
  <c r="CM33" i="12"/>
  <c r="CP23" i="12"/>
  <c r="CR24" i="12"/>
  <c r="CT25" i="12"/>
  <c r="CH27" i="12"/>
  <c r="CG28" i="12"/>
  <c r="CN33" i="12"/>
  <c r="CV58" i="12"/>
  <c r="CG26" i="12"/>
  <c r="CI27" i="12"/>
  <c r="CH28" i="12"/>
  <c r="CO33" i="12"/>
  <c r="CJ27" i="12"/>
  <c r="CI28" i="12"/>
  <c r="CP33" i="12"/>
  <c r="CI26" i="12"/>
  <c r="CK27" i="12"/>
  <c r="CQ33" i="12"/>
  <c r="CV55" i="12"/>
  <c r="CT23" i="12"/>
  <c r="CH25" i="12"/>
  <c r="CJ26" i="12"/>
  <c r="CL27" i="12"/>
  <c r="CK28" i="12"/>
  <c r="CR33" i="12"/>
  <c r="CI25" i="12"/>
  <c r="CK26" i="12"/>
  <c r="CM27" i="12"/>
  <c r="CL28" i="12"/>
  <c r="CS33" i="12"/>
  <c r="CJ25" i="12"/>
  <c r="CL26" i="12"/>
  <c r="CN27" i="12"/>
  <c r="CM28" i="12"/>
  <c r="CT33" i="12"/>
  <c r="CV61" i="12"/>
  <c r="CG23" i="12"/>
  <c r="CK25" i="12"/>
  <c r="CM26" i="12"/>
  <c r="CO27" i="12"/>
  <c r="CN28" i="12"/>
  <c r="CH23" i="12"/>
  <c r="CL25" i="12"/>
  <c r="CN26" i="12"/>
  <c r="CP27" i="12"/>
  <c r="CO28" i="12"/>
  <c r="CI23" i="12"/>
  <c r="CQ27" i="12"/>
  <c r="CP28" i="12"/>
  <c r="CG33" i="12"/>
  <c r="CZ62" i="11"/>
  <c r="CZ96" i="11"/>
  <c r="CY91" i="11"/>
  <c r="CZ91" i="11"/>
  <c r="CY93" i="11"/>
  <c r="CZ93" i="11"/>
  <c r="CY94" i="11"/>
  <c r="CZ94" i="11"/>
  <c r="CY95" i="11"/>
  <c r="CZ95" i="11"/>
  <c r="CY90" i="11"/>
  <c r="CZ90" i="11"/>
  <c r="CY92" i="11"/>
  <c r="CZ92" i="11"/>
  <c r="CZ87" i="11"/>
  <c r="CY87" i="11"/>
  <c r="CZ89" i="11"/>
  <c r="CZ88" i="11"/>
  <c r="CY84" i="11"/>
  <c r="CZ84" i="11"/>
  <c r="CZ80" i="11"/>
  <c r="CY59" i="11"/>
  <c r="CZ59" i="11"/>
  <c r="CZ63" i="11"/>
  <c r="CY81" i="11"/>
  <c r="CZ81" i="11"/>
  <c r="CZ82" i="11"/>
  <c r="CY82" i="11"/>
  <c r="CY79" i="11"/>
  <c r="CZ79" i="11"/>
  <c r="CZ83" i="11"/>
  <c r="CY83" i="11"/>
  <c r="CY74" i="11"/>
  <c r="CZ74" i="11"/>
  <c r="CY69" i="11"/>
  <c r="CZ69" i="11"/>
  <c r="CY66" i="11"/>
  <c r="CZ66" i="11"/>
  <c r="CY46" i="11"/>
  <c r="CZ46" i="11"/>
  <c r="CZ72" i="11"/>
  <c r="CY72" i="11"/>
  <c r="CY70" i="11"/>
  <c r="CZ70" i="11"/>
  <c r="CY58" i="11"/>
  <c r="CZ58" i="11"/>
  <c r="CY52" i="11"/>
  <c r="CZ52" i="11"/>
  <c r="CY57" i="11"/>
  <c r="CZ57" i="11"/>
  <c r="CY71" i="11"/>
  <c r="CZ71" i="11"/>
  <c r="CY75" i="11"/>
  <c r="CZ75" i="11"/>
  <c r="CY64" i="11"/>
  <c r="CZ64" i="11"/>
  <c r="CY61" i="11"/>
  <c r="CZ61" i="11"/>
  <c r="CY76" i="11"/>
  <c r="CY60" i="11"/>
  <c r="CZ68" i="11"/>
  <c r="CZ65" i="11"/>
  <c r="CU20" i="12" l="1"/>
  <c r="CU21" i="12"/>
  <c r="CU19" i="12"/>
  <c r="CU22" i="12"/>
  <c r="CV21" i="12"/>
  <c r="CV22" i="12"/>
  <c r="CV20" i="12"/>
  <c r="CV19" i="12"/>
  <c r="CW22" i="12"/>
  <c r="CW19" i="12"/>
  <c r="CW21" i="12"/>
  <c r="CW20" i="12"/>
  <c r="CV16" i="12"/>
  <c r="CV29" i="12" s="1"/>
  <c r="CU31" i="12"/>
  <c r="CU30" i="12"/>
  <c r="CU29" i="12"/>
  <c r="CU32" i="12"/>
  <c r="CW30" i="12"/>
  <c r="CW29" i="12"/>
  <c r="CW32" i="12"/>
  <c r="CW31" i="12"/>
  <c r="CU27" i="12"/>
  <c r="CU28" i="12"/>
  <c r="CW23" i="12"/>
  <c r="CW10" i="12"/>
  <c r="CW24" i="12" s="1"/>
  <c r="CV10" i="12"/>
  <c r="CV24" i="12" s="1"/>
  <c r="CU25" i="12"/>
  <c r="CU24" i="12"/>
  <c r="CU33" i="12"/>
  <c r="CV23" i="12"/>
  <c r="CV30" i="12" l="1"/>
  <c r="CV32" i="12"/>
  <c r="CV31" i="12"/>
  <c r="CW27" i="12"/>
  <c r="CW28" i="12"/>
  <c r="CW26" i="12"/>
  <c r="CW25" i="12"/>
  <c r="CV27" i="12"/>
  <c r="CW33" i="12"/>
  <c r="CV28" i="12"/>
  <c r="CV26" i="12"/>
  <c r="CV25" i="12"/>
  <c r="CV33" i="12"/>
  <c r="CO4" i="11" l="1"/>
  <c r="CO5" i="11"/>
  <c r="CO6" i="11"/>
  <c r="CO7" i="11"/>
  <c r="CO8" i="11"/>
  <c r="CO9" i="11"/>
  <c r="CO10" i="11"/>
  <c r="CO11" i="11"/>
  <c r="CO12" i="11"/>
  <c r="CO13" i="11"/>
  <c r="CO14" i="11"/>
  <c r="CO15" i="11"/>
  <c r="CO16" i="11"/>
  <c r="CO17" i="11"/>
  <c r="CO18" i="11"/>
  <c r="CO19" i="11"/>
  <c r="CO3" i="11"/>
  <c r="CO32" i="11" s="1"/>
  <c r="CO42" i="11" l="1"/>
  <c r="CO37" i="11"/>
  <c r="CO40" i="11"/>
  <c r="CO41" i="11"/>
  <c r="CO35" i="11"/>
  <c r="CO36" i="11"/>
  <c r="CO30" i="11"/>
  <c r="CO31" i="11"/>
  <c r="CO28" i="11"/>
  <c r="CO29" i="11"/>
  <c r="CO33" i="11"/>
  <c r="CO34" i="11"/>
  <c r="CO38" i="11"/>
  <c r="CO39" i="11"/>
  <c r="CU16" i="11"/>
  <c r="CW16" i="11"/>
  <c r="CX16" i="11" s="1"/>
  <c r="CT16" i="11"/>
  <c r="CS16" i="11"/>
  <c r="CR16" i="11"/>
  <c r="CQ16" i="11"/>
  <c r="CP16" i="11"/>
  <c r="CN16" i="11"/>
  <c r="CM16" i="11"/>
  <c r="CL16" i="11"/>
  <c r="CK16" i="11"/>
  <c r="CJ16" i="11"/>
  <c r="CI16" i="11"/>
  <c r="AL16" i="11"/>
  <c r="AK16" i="11"/>
  <c r="AJ16" i="11"/>
  <c r="CU15" i="11"/>
  <c r="CW15" i="11"/>
  <c r="CX15" i="11" s="1"/>
  <c r="CT15" i="11"/>
  <c r="CS15" i="11"/>
  <c r="CR15" i="11"/>
  <c r="CQ15" i="11"/>
  <c r="CP15" i="11"/>
  <c r="CN15" i="11"/>
  <c r="CM15" i="11"/>
  <c r="CL15" i="11"/>
  <c r="CK15" i="11"/>
  <c r="CJ15" i="11"/>
  <c r="CI15" i="11"/>
  <c r="AL15" i="11"/>
  <c r="AK15" i="11"/>
  <c r="AJ15" i="11"/>
  <c r="CS19" i="11"/>
  <c r="CR19" i="11"/>
  <c r="CQ19" i="11"/>
  <c r="CP19" i="11"/>
  <c r="CN19" i="11"/>
  <c r="CM19" i="11"/>
  <c r="CL19" i="11"/>
  <c r="CK19" i="11"/>
  <c r="CS18" i="11"/>
  <c r="CR18" i="11"/>
  <c r="CQ18" i="11"/>
  <c r="CP18" i="11"/>
  <c r="CN18" i="11"/>
  <c r="CM18" i="11"/>
  <c r="CL18" i="11"/>
  <c r="CK18" i="11"/>
  <c r="CS17" i="11"/>
  <c r="CR17" i="11"/>
  <c r="CQ17" i="11"/>
  <c r="CP17" i="11"/>
  <c r="CN17" i="11"/>
  <c r="CM17" i="11"/>
  <c r="CL17" i="11"/>
  <c r="CK17" i="11"/>
  <c r="CS14" i="11"/>
  <c r="CR14" i="11"/>
  <c r="CQ14" i="11"/>
  <c r="CP14" i="11"/>
  <c r="CN14" i="11"/>
  <c r="CM14" i="11"/>
  <c r="CL14" i="11"/>
  <c r="CK14" i="11"/>
  <c r="CS13" i="11"/>
  <c r="CR13" i="11"/>
  <c r="CQ13" i="11"/>
  <c r="CP13" i="11"/>
  <c r="CN13" i="11"/>
  <c r="CM13" i="11"/>
  <c r="CL13" i="11"/>
  <c r="CK13" i="11"/>
  <c r="CS12" i="11"/>
  <c r="CR12" i="11"/>
  <c r="CQ12" i="11"/>
  <c r="CP12" i="11"/>
  <c r="CN12" i="11"/>
  <c r="CM12" i="11"/>
  <c r="CL12" i="11"/>
  <c r="CK12" i="11"/>
  <c r="CS11" i="11"/>
  <c r="CR11" i="11"/>
  <c r="CQ11" i="11"/>
  <c r="CP11" i="11"/>
  <c r="CN11" i="11"/>
  <c r="CM11" i="11"/>
  <c r="CL11" i="11"/>
  <c r="CK11" i="11"/>
  <c r="CS10" i="11"/>
  <c r="CR10" i="11"/>
  <c r="CQ10" i="11"/>
  <c r="CP10" i="11"/>
  <c r="CN10" i="11"/>
  <c r="CM10" i="11"/>
  <c r="CL10" i="11"/>
  <c r="CK10" i="11"/>
  <c r="CS9" i="11"/>
  <c r="CR9" i="11"/>
  <c r="CQ9" i="11"/>
  <c r="CP9" i="11"/>
  <c r="CN9" i="11"/>
  <c r="CM9" i="11"/>
  <c r="CL9" i="11"/>
  <c r="CK9" i="11"/>
  <c r="CS8" i="11"/>
  <c r="CR8" i="11"/>
  <c r="CQ8" i="11"/>
  <c r="CP8" i="11"/>
  <c r="CN8" i="11"/>
  <c r="CM8" i="11"/>
  <c r="CL8" i="11"/>
  <c r="CK8" i="11"/>
  <c r="CS7" i="11"/>
  <c r="CR7" i="11"/>
  <c r="CQ7" i="11"/>
  <c r="CP7" i="11"/>
  <c r="CN7" i="11"/>
  <c r="CM7" i="11"/>
  <c r="CL7" i="11"/>
  <c r="CK7" i="11"/>
  <c r="CS6" i="11"/>
  <c r="CR6" i="11"/>
  <c r="CQ6" i="11"/>
  <c r="CP6" i="11"/>
  <c r="CN6" i="11"/>
  <c r="CM6" i="11"/>
  <c r="CL6" i="11"/>
  <c r="CK6" i="11"/>
  <c r="CS5" i="11"/>
  <c r="CR5" i="11"/>
  <c r="CQ5" i="11"/>
  <c r="CP5" i="11"/>
  <c r="CN5" i="11"/>
  <c r="CM5" i="11"/>
  <c r="CL5" i="11"/>
  <c r="CK5" i="11"/>
  <c r="CS4" i="11"/>
  <c r="CR4" i="11"/>
  <c r="CQ4" i="11"/>
  <c r="CP4" i="11"/>
  <c r="CN4" i="11"/>
  <c r="CM4" i="11"/>
  <c r="CL4" i="11"/>
  <c r="CK4" i="11"/>
  <c r="CW14" i="11"/>
  <c r="CX14" i="11" s="1"/>
  <c r="CU14" i="11"/>
  <c r="CU19" i="11"/>
  <c r="CW19" i="11"/>
  <c r="CX19" i="11" s="1"/>
  <c r="CT19" i="11"/>
  <c r="CJ19" i="11"/>
  <c r="CI19" i="11"/>
  <c r="AL19" i="11"/>
  <c r="AK19" i="11"/>
  <c r="AJ19" i="11"/>
  <c r="CU18" i="11"/>
  <c r="CW18" i="11"/>
  <c r="CX18" i="11" s="1"/>
  <c r="CT18" i="11"/>
  <c r="CJ18" i="11"/>
  <c r="CI18" i="11"/>
  <c r="AL18" i="11"/>
  <c r="AK18" i="11"/>
  <c r="AJ18" i="11"/>
  <c r="CU17" i="11"/>
  <c r="CW17" i="11"/>
  <c r="CT17" i="11"/>
  <c r="CJ17" i="11"/>
  <c r="CI17" i="11"/>
  <c r="AL17" i="11"/>
  <c r="AK17" i="11"/>
  <c r="AJ17" i="11"/>
  <c r="CT14" i="11"/>
  <c r="CJ14" i="11"/>
  <c r="CI14" i="11"/>
  <c r="AL14" i="11"/>
  <c r="AK14" i="11"/>
  <c r="AJ14" i="11"/>
  <c r="CU13" i="11"/>
  <c r="CW13" i="11"/>
  <c r="CX13" i="11" s="1"/>
  <c r="CT13" i="11"/>
  <c r="CJ13" i="11"/>
  <c r="CI13" i="11"/>
  <c r="AL13" i="11"/>
  <c r="AK13" i="11"/>
  <c r="AJ13" i="11"/>
  <c r="CU12" i="11"/>
  <c r="CW12" i="11"/>
  <c r="CX12" i="11" s="1"/>
  <c r="CT12" i="11"/>
  <c r="CJ12" i="11"/>
  <c r="CI12" i="11"/>
  <c r="AL12" i="11"/>
  <c r="AK12" i="11"/>
  <c r="AJ12" i="11"/>
  <c r="CU11" i="11"/>
  <c r="CW11" i="11"/>
  <c r="CX11" i="11" s="1"/>
  <c r="CT11" i="11"/>
  <c r="CJ11" i="11"/>
  <c r="CI11" i="11"/>
  <c r="AL11" i="11"/>
  <c r="AK11" i="11"/>
  <c r="AJ11" i="11"/>
  <c r="CU10" i="11"/>
  <c r="CW10" i="11"/>
  <c r="CX10" i="11" s="1"/>
  <c r="CJ10" i="11"/>
  <c r="CI10" i="11"/>
  <c r="AL10" i="11"/>
  <c r="AK10" i="11"/>
  <c r="AJ10" i="11"/>
  <c r="CU9" i="11"/>
  <c r="CW9" i="11"/>
  <c r="CX9" i="11" s="1"/>
  <c r="CT9" i="11"/>
  <c r="CJ9" i="11"/>
  <c r="CI9" i="11"/>
  <c r="AL9" i="11"/>
  <c r="AK9" i="11"/>
  <c r="AJ9" i="11"/>
  <c r="CU8" i="11"/>
  <c r="CW8" i="11"/>
  <c r="CX8" i="11" s="1"/>
  <c r="CT8" i="11"/>
  <c r="CJ8" i="11"/>
  <c r="CI8" i="11"/>
  <c r="AL8" i="11"/>
  <c r="AK8" i="11"/>
  <c r="AJ8" i="11"/>
  <c r="CU7" i="11"/>
  <c r="CW7" i="11"/>
  <c r="CX7" i="11" s="1"/>
  <c r="CT7" i="11"/>
  <c r="CJ7" i="11"/>
  <c r="CI7" i="11"/>
  <c r="AL7" i="11"/>
  <c r="AK7" i="11"/>
  <c r="AJ7" i="11"/>
  <c r="CU6" i="11"/>
  <c r="CW6" i="11"/>
  <c r="CX6" i="11" s="1"/>
  <c r="CZ6" i="11" s="1"/>
  <c r="CT6" i="11"/>
  <c r="CJ6" i="11"/>
  <c r="CI6" i="11"/>
  <c r="AL6" i="11"/>
  <c r="AK6" i="11"/>
  <c r="AJ6" i="11"/>
  <c r="CU5" i="11"/>
  <c r="CW5" i="11"/>
  <c r="CT5" i="11"/>
  <c r="CJ5" i="11"/>
  <c r="CI5" i="11"/>
  <c r="AL5" i="11"/>
  <c r="AK5" i="11"/>
  <c r="AJ5" i="11"/>
  <c r="CU3" i="11"/>
  <c r="CU32" i="11" s="1"/>
  <c r="CW3" i="11"/>
  <c r="CW32" i="11" s="1"/>
  <c r="CT3" i="11"/>
  <c r="CT32" i="11" s="1"/>
  <c r="CS32" i="11"/>
  <c r="CR3" i="11"/>
  <c r="CR32" i="11" s="1"/>
  <c r="CQ3" i="11"/>
  <c r="CQ32" i="11" s="1"/>
  <c r="CP3" i="11"/>
  <c r="CP32" i="11" s="1"/>
  <c r="CN3" i="11"/>
  <c r="CN32" i="11" s="1"/>
  <c r="CM3" i="11"/>
  <c r="CM32" i="11" s="1"/>
  <c r="CL3" i="11"/>
  <c r="CL32" i="11" s="1"/>
  <c r="CK3" i="11"/>
  <c r="CK32" i="11" s="1"/>
  <c r="CJ3" i="11"/>
  <c r="CJ32" i="11" s="1"/>
  <c r="CI32" i="11"/>
  <c r="AL3" i="11"/>
  <c r="AK3" i="11"/>
  <c r="AJ3" i="11"/>
  <c r="CS36" i="11" l="1"/>
  <c r="CR37" i="11"/>
  <c r="CS37" i="11"/>
  <c r="CR42" i="11"/>
  <c r="CJ37" i="11"/>
  <c r="CQ37" i="11"/>
  <c r="CQ42" i="11"/>
  <c r="CW37" i="11"/>
  <c r="CS42" i="11"/>
  <c r="CU42" i="11"/>
  <c r="CU37" i="11"/>
  <c r="CK37" i="11"/>
  <c r="CK42" i="11"/>
  <c r="CT37" i="11"/>
  <c r="CL37" i="11"/>
  <c r="CL42" i="11"/>
  <c r="CJ42" i="11"/>
  <c r="CM37" i="11"/>
  <c r="CM42" i="11"/>
  <c r="CI42" i="11"/>
  <c r="CT42" i="11"/>
  <c r="CN37" i="11"/>
  <c r="CN42" i="11"/>
  <c r="CI37" i="11"/>
  <c r="CW42" i="11"/>
  <c r="CP37" i="11"/>
  <c r="CP42" i="11"/>
  <c r="CP40" i="11"/>
  <c r="CP41" i="11"/>
  <c r="CQ40" i="11"/>
  <c r="CQ41" i="11"/>
  <c r="CS40" i="11"/>
  <c r="CS41" i="11"/>
  <c r="CT35" i="11"/>
  <c r="CT36" i="11"/>
  <c r="CW41" i="11"/>
  <c r="CW40" i="11"/>
  <c r="CU40" i="11"/>
  <c r="CU41" i="11"/>
  <c r="CR40" i="11"/>
  <c r="CR41" i="11"/>
  <c r="CK40" i="11"/>
  <c r="CK41" i="11"/>
  <c r="CI41" i="11"/>
  <c r="CI40" i="11"/>
  <c r="CL40" i="11"/>
  <c r="CL41" i="11"/>
  <c r="CJ40" i="11"/>
  <c r="CJ41" i="11"/>
  <c r="CM40" i="11"/>
  <c r="CM41" i="11"/>
  <c r="CT40" i="11"/>
  <c r="CT41" i="11"/>
  <c r="CN40" i="11"/>
  <c r="CN41" i="11"/>
  <c r="CM35" i="11"/>
  <c r="CM36" i="11"/>
  <c r="CN35" i="11"/>
  <c r="CN36" i="11"/>
  <c r="CI36" i="11"/>
  <c r="CI35" i="11"/>
  <c r="CP35" i="11"/>
  <c r="CP36" i="11"/>
  <c r="CR36" i="11"/>
  <c r="CR35" i="11"/>
  <c r="CW35" i="11"/>
  <c r="CW36" i="11"/>
  <c r="CQ35" i="11"/>
  <c r="CQ36" i="11"/>
  <c r="CJ35" i="11"/>
  <c r="CJ36" i="11"/>
  <c r="CK35" i="11"/>
  <c r="CK36" i="11"/>
  <c r="CS35" i="11"/>
  <c r="CU35" i="11"/>
  <c r="CU36" i="11"/>
  <c r="CL35" i="11"/>
  <c r="CL36" i="11"/>
  <c r="CT38" i="11"/>
  <c r="CT39" i="11"/>
  <c r="CJ30" i="11"/>
  <c r="CJ31" i="11"/>
  <c r="CJ28" i="11"/>
  <c r="CJ29" i="11"/>
  <c r="CL30" i="11"/>
  <c r="CL31" i="11"/>
  <c r="CL28" i="11"/>
  <c r="CL29" i="11"/>
  <c r="CM30" i="11"/>
  <c r="CM31" i="11"/>
  <c r="CM28" i="11"/>
  <c r="CM29" i="11"/>
  <c r="CT33" i="11"/>
  <c r="CT34" i="11"/>
  <c r="CP30" i="11"/>
  <c r="CP31" i="11"/>
  <c r="CP28" i="11"/>
  <c r="CP29" i="11"/>
  <c r="CR28" i="11"/>
  <c r="CR29" i="11"/>
  <c r="CR30" i="11"/>
  <c r="CR31" i="11"/>
  <c r="CN30" i="11"/>
  <c r="CN31" i="11"/>
  <c r="CN28" i="11"/>
  <c r="CN29" i="11"/>
  <c r="CQ28" i="11"/>
  <c r="CQ29" i="11"/>
  <c r="CQ30" i="11"/>
  <c r="CQ31" i="11"/>
  <c r="CS28" i="11"/>
  <c r="CS29" i="11"/>
  <c r="CS30" i="11"/>
  <c r="CS31" i="11"/>
  <c r="CU28" i="11"/>
  <c r="CU29" i="11"/>
  <c r="CU30" i="11"/>
  <c r="CU31" i="11"/>
  <c r="CI31" i="11"/>
  <c r="CI30" i="11"/>
  <c r="CI28" i="11"/>
  <c r="CI29" i="11"/>
  <c r="CK30" i="11"/>
  <c r="CK31" i="11"/>
  <c r="CK28" i="11"/>
  <c r="CK29" i="11"/>
  <c r="CT28" i="11"/>
  <c r="CT29" i="11"/>
  <c r="CT30" i="11"/>
  <c r="CT31" i="11"/>
  <c r="CX3" i="11"/>
  <c r="CW28" i="11"/>
  <c r="CW29" i="11"/>
  <c r="CW30" i="11"/>
  <c r="CW31" i="11"/>
  <c r="CK34" i="11"/>
  <c r="CK33" i="11"/>
  <c r="CK38" i="11"/>
  <c r="CK39" i="11"/>
  <c r="CI39" i="11"/>
  <c r="CI38" i="11"/>
  <c r="CL33" i="11"/>
  <c r="CL34" i="11"/>
  <c r="CL38" i="11"/>
  <c r="CL39" i="11"/>
  <c r="CJ38" i="11"/>
  <c r="CJ39" i="11"/>
  <c r="CM33" i="11"/>
  <c r="CM34" i="11"/>
  <c r="CM38" i="11"/>
  <c r="CM39" i="11"/>
  <c r="CN33" i="11"/>
  <c r="CN34" i="11"/>
  <c r="CN38" i="11"/>
  <c r="CN39" i="11"/>
  <c r="CX17" i="11"/>
  <c r="CX42" i="11" s="1"/>
  <c r="CW38" i="11"/>
  <c r="CW39" i="11"/>
  <c r="CP33" i="11"/>
  <c r="CP34" i="11"/>
  <c r="CP39" i="11"/>
  <c r="CP38" i="11"/>
  <c r="CJ33" i="11"/>
  <c r="CJ34" i="11"/>
  <c r="CU38" i="11"/>
  <c r="CU39" i="11"/>
  <c r="CQ33" i="11"/>
  <c r="CQ34" i="11"/>
  <c r="CQ38" i="11"/>
  <c r="CQ39" i="11"/>
  <c r="CR33" i="11"/>
  <c r="CR34" i="11"/>
  <c r="CR39" i="11"/>
  <c r="CR38" i="11"/>
  <c r="CX5" i="11"/>
  <c r="CX37" i="11" s="1"/>
  <c r="CW33" i="11"/>
  <c r="CW34" i="11"/>
  <c r="CS38" i="11"/>
  <c r="CS39" i="11"/>
  <c r="CI33" i="11"/>
  <c r="CI34" i="11"/>
  <c r="CS34" i="11"/>
  <c r="CS33" i="11"/>
  <c r="CU33" i="11"/>
  <c r="CU34" i="11"/>
  <c r="CY15" i="11"/>
  <c r="CZ15" i="11"/>
  <c r="CZ16" i="11"/>
  <c r="CY16" i="11"/>
  <c r="CZ14" i="11"/>
  <c r="CY14" i="11"/>
  <c r="CZ9" i="11"/>
  <c r="CY9" i="11"/>
  <c r="CZ8" i="11"/>
  <c r="CY8" i="11"/>
  <c r="CY7" i="11"/>
  <c r="CZ7" i="11"/>
  <c r="CZ18" i="11"/>
  <c r="CY18" i="11"/>
  <c r="CZ19" i="11"/>
  <c r="CY19" i="11"/>
  <c r="CZ10" i="11"/>
  <c r="CY10" i="11"/>
  <c r="CZ11" i="11"/>
  <c r="CY11" i="11"/>
  <c r="CZ12" i="11"/>
  <c r="CY12" i="11"/>
  <c r="CY13" i="11"/>
  <c r="CZ13" i="11"/>
  <c r="CY6" i="11"/>
  <c r="CZ3" i="11" l="1"/>
  <c r="CX32" i="11"/>
  <c r="CY3" i="11"/>
  <c r="CY32" i="11" s="1"/>
  <c r="CY17" i="11"/>
  <c r="CY42" i="11" s="1"/>
  <c r="CX40" i="11"/>
  <c r="CX41" i="11"/>
  <c r="CY5" i="11"/>
  <c r="CY37" i="11" s="1"/>
  <c r="CX35" i="11"/>
  <c r="CX36" i="11"/>
  <c r="CZ29" i="11"/>
  <c r="CZ30" i="11"/>
  <c r="CZ31" i="11"/>
  <c r="CZ17" i="11"/>
  <c r="CX28" i="11"/>
  <c r="CX29" i="11"/>
  <c r="CX30" i="11"/>
  <c r="CX31" i="11"/>
  <c r="CX33" i="11"/>
  <c r="CX34" i="11"/>
  <c r="CZ5" i="11"/>
  <c r="CX38" i="11"/>
  <c r="CX39" i="11"/>
  <c r="CY33" i="11" l="1"/>
  <c r="CY34" i="11"/>
  <c r="CY39" i="11"/>
  <c r="CY38" i="11"/>
  <c r="CY31" i="11"/>
  <c r="CY30" i="11"/>
  <c r="CZ33" i="11"/>
  <c r="CZ37" i="11"/>
  <c r="CY28" i="11"/>
  <c r="CZ38" i="11"/>
  <c r="CZ42" i="11"/>
  <c r="CY29" i="11"/>
  <c r="CZ28" i="11"/>
  <c r="CZ32" i="11"/>
  <c r="CZ40" i="11"/>
  <c r="CZ41" i="11"/>
  <c r="CZ39" i="11"/>
  <c r="CY40" i="11"/>
  <c r="CY41" i="11"/>
  <c r="CZ36" i="11"/>
  <c r="CZ35" i="11"/>
  <c r="CY35" i="11"/>
  <c r="CY36" i="11"/>
  <c r="CZ3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3" authorId="0" shapeId="0" xr:uid="{CE3BF4A7-13A3-224F-A7F4-B8C6AFFDD50F}">
      <text>
        <r>
          <rPr>
            <b/>
            <sz val="9"/>
            <color rgb="FF000000"/>
            <rFont val="Tahoma"/>
            <family val="2"/>
          </rPr>
          <t xml:space="preserve">% excess (+) or deficiency (-) in 16OH compared to mean of S0081.  Individual errors (1s) error ~ </t>
        </r>
        <r>
          <rPr>
            <b/>
            <sz val="9"/>
            <color rgb="FF000000"/>
            <rFont val="Tahoma"/>
            <family val="2"/>
          </rPr>
          <t>±</t>
        </r>
        <r>
          <rPr>
            <b/>
            <sz val="9"/>
            <color rgb="FF000000"/>
            <rFont val="Tahoma"/>
            <family val="2"/>
          </rPr>
          <t xml:space="preserve">10%.  Values between +20% and -20% fall within the range of secondary reference materials and would not be significant.  As a guideline, values &gt;50% could potentially be affected. </t>
        </r>
      </text>
    </comment>
  </commentList>
</comments>
</file>

<file path=xl/sharedStrings.xml><?xml version="1.0" encoding="utf-8"?>
<sst xmlns="http://schemas.openxmlformats.org/spreadsheetml/2006/main" count="6031" uniqueCount="1355">
  <si>
    <t>Rock type</t>
  </si>
  <si>
    <t>MnO</t>
  </si>
  <si>
    <t>MgO</t>
  </si>
  <si>
    <t>CaO</t>
  </si>
  <si>
    <t>LOI</t>
  </si>
  <si>
    <t>Total</t>
  </si>
  <si>
    <t>Ba</t>
  </si>
  <si>
    <t>Rb</t>
  </si>
  <si>
    <t>Sr</t>
  </si>
  <si>
    <t>Cs</t>
  </si>
  <si>
    <t>Li</t>
  </si>
  <si>
    <t>Ga</t>
  </si>
  <si>
    <t>Tl</t>
  </si>
  <si>
    <t>Ta</t>
  </si>
  <si>
    <t>Nb</t>
  </si>
  <si>
    <t>Hf</t>
  </si>
  <si>
    <t>Zr</t>
  </si>
  <si>
    <t>Y</t>
  </si>
  <si>
    <t>Th</t>
  </si>
  <si>
    <t>U</t>
  </si>
  <si>
    <t>Cr</t>
  </si>
  <si>
    <t>Ni</t>
  </si>
  <si>
    <t>Co</t>
  </si>
  <si>
    <t>Sc</t>
  </si>
  <si>
    <t>V</t>
  </si>
  <si>
    <t>Cu</t>
  </si>
  <si>
    <t>Pb</t>
  </si>
  <si>
    <t>Zn</t>
  </si>
  <si>
    <t>Bi</t>
  </si>
  <si>
    <t>In</t>
  </si>
  <si>
    <t>Sn</t>
  </si>
  <si>
    <t>W</t>
  </si>
  <si>
    <t>Ag</t>
  </si>
  <si>
    <t>Hg</t>
  </si>
  <si>
    <t>As</t>
  </si>
  <si>
    <t>Sb</t>
  </si>
  <si>
    <t>Ge</t>
  </si>
  <si>
    <t>Se</t>
  </si>
  <si>
    <t>Te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</si>
  <si>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</si>
  <si>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</si>
  <si>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</si>
  <si>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</si>
  <si>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</si>
  <si>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</si>
  <si>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</si>
  <si>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</si>
  <si>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</si>
  <si>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</si>
  <si>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</si>
  <si>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</si>
  <si>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</si>
  <si>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</si>
  <si>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A/CNK</t>
  </si>
  <si>
    <t>Sr/Y</t>
  </si>
  <si>
    <t>V/Sc</t>
  </si>
  <si>
    <t>Diorite</t>
  </si>
  <si>
    <t>Quartz diorite</t>
  </si>
  <si>
    <t>&lt;5</t>
  </si>
  <si>
    <t>&lt;0.5</t>
  </si>
  <si>
    <t>&lt;0.005</t>
  </si>
  <si>
    <t>&lt;0.001</t>
  </si>
  <si>
    <t>&lt;0.2</t>
  </si>
  <si>
    <t>&lt;0.01</t>
  </si>
  <si>
    <t>&lt;0.02</t>
  </si>
  <si>
    <t>&lt;1</t>
  </si>
  <si>
    <t>&lt;10</t>
  </si>
  <si>
    <t>&lt;0.05</t>
  </si>
  <si>
    <t>&lt;0.1</t>
  </si>
  <si>
    <t>BaO</t>
  </si>
  <si>
    <t>SrO</t>
  </si>
  <si>
    <t>C</t>
  </si>
  <si>
    <t>S</t>
  </si>
  <si>
    <t>K</t>
  </si>
  <si>
    <t>Ti</t>
  </si>
  <si>
    <t>P</t>
  </si>
  <si>
    <t>Re</t>
  </si>
  <si>
    <t>La/Yb</t>
  </si>
  <si>
    <t>Eu/Eu*</t>
  </si>
  <si>
    <t xml:space="preserve">Total Mole </t>
  </si>
  <si>
    <t>M</t>
  </si>
  <si>
    <t>T (Watson and Harrison)</t>
  </si>
  <si>
    <t>T(Boehnke et al., 2013)</t>
  </si>
  <si>
    <t>Feldspar porphyry</t>
  </si>
  <si>
    <t>&lt;2</t>
  </si>
  <si>
    <t>Dy/Yb</t>
  </si>
  <si>
    <t>Zr/Y</t>
  </si>
  <si>
    <t>Trondhjemite</t>
  </si>
  <si>
    <t>Trondhjemite-II</t>
  </si>
  <si>
    <t>Tonalite</t>
  </si>
  <si>
    <t>Trondhjemite-I</t>
  </si>
  <si>
    <t>Location</t>
  </si>
  <si>
    <t>Côté Gold</t>
  </si>
  <si>
    <t>Flavrian</t>
  </si>
  <si>
    <t>Clifford</t>
  </si>
  <si>
    <t>Granodiorite</t>
  </si>
  <si>
    <t>Ggranodiorite</t>
  </si>
  <si>
    <t>CT-02</t>
  </si>
  <si>
    <t>FLV-04</t>
  </si>
  <si>
    <t>FLV-05</t>
  </si>
  <si>
    <t>FLV-07</t>
  </si>
  <si>
    <t>FLV-08</t>
  </si>
  <si>
    <t>FLV-16</t>
  </si>
  <si>
    <t>FLV-20</t>
  </si>
  <si>
    <t>FLV-22</t>
  </si>
  <si>
    <t>FLV-28</t>
  </si>
  <si>
    <t>FLV-30</t>
  </si>
  <si>
    <t>FLV-32</t>
  </si>
  <si>
    <t>CS-07</t>
  </si>
  <si>
    <t>CS-20</t>
  </si>
  <si>
    <t>CS-22</t>
  </si>
  <si>
    <r>
      <t>SiO</t>
    </r>
    <r>
      <rPr>
        <b/>
        <vertAlign val="subscript"/>
        <sz val="10"/>
        <color theme="1"/>
        <rFont val="Arial"/>
        <family val="2"/>
      </rPr>
      <t>2</t>
    </r>
  </si>
  <si>
    <r>
      <t>TiO</t>
    </r>
    <r>
      <rPr>
        <b/>
        <vertAlign val="subscript"/>
        <sz val="10"/>
        <color theme="1"/>
        <rFont val="Arial"/>
        <family val="2"/>
      </rPr>
      <t>2</t>
    </r>
  </si>
  <si>
    <r>
      <t>Al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O</t>
    </r>
    <r>
      <rPr>
        <b/>
        <vertAlign val="subscript"/>
        <sz val="10"/>
        <color theme="1"/>
        <rFont val="Arial"/>
        <family val="2"/>
      </rPr>
      <t>3</t>
    </r>
  </si>
  <si>
    <r>
      <t>Fe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O</t>
    </r>
    <r>
      <rPr>
        <b/>
        <vertAlign val="subscript"/>
        <sz val="10"/>
        <color theme="1"/>
        <rFont val="Arial"/>
        <family val="2"/>
      </rPr>
      <t>3</t>
    </r>
  </si>
  <si>
    <r>
      <t>Na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O</t>
    </r>
  </si>
  <si>
    <r>
      <t>K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O</t>
    </r>
  </si>
  <si>
    <r>
      <t>P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O</t>
    </r>
    <r>
      <rPr>
        <b/>
        <vertAlign val="subscript"/>
        <sz val="10"/>
        <color theme="1"/>
        <rFont val="Arial"/>
        <family val="2"/>
      </rPr>
      <t>5</t>
    </r>
  </si>
  <si>
    <r>
      <t>Cr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O</t>
    </r>
    <r>
      <rPr>
        <b/>
        <vertAlign val="subscript"/>
        <sz val="10"/>
        <color theme="1"/>
        <rFont val="Arial"/>
        <family val="2"/>
      </rPr>
      <t>3</t>
    </r>
  </si>
  <si>
    <r>
      <t>K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O/Na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O</t>
    </r>
  </si>
  <si>
    <r>
      <t>Na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O+K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O</t>
    </r>
  </si>
  <si>
    <r>
      <t>(La/Yb)</t>
    </r>
    <r>
      <rPr>
        <b/>
        <vertAlign val="subscript"/>
        <sz val="10"/>
        <color theme="1"/>
        <rFont val="Arial"/>
        <family val="2"/>
      </rPr>
      <t>N</t>
    </r>
  </si>
  <si>
    <t>AST (ºC)</t>
  </si>
  <si>
    <r>
      <t>Mg</t>
    </r>
    <r>
      <rPr>
        <b/>
        <vertAlign val="superscript"/>
        <sz val="10"/>
        <color theme="1"/>
        <rFont val="Arial"/>
        <family val="2"/>
      </rPr>
      <t>#</t>
    </r>
  </si>
  <si>
    <t>Gabbro</t>
  </si>
  <si>
    <t>Nb/Ta</t>
  </si>
  <si>
    <t>SJ-04</t>
  </si>
  <si>
    <t>SJ-08</t>
  </si>
  <si>
    <t>St-Jude</t>
  </si>
  <si>
    <t>CIC-LK13-01 455</t>
  </si>
  <si>
    <t>&lt; 1</t>
  </si>
  <si>
    <t>&lt; 0.2</t>
  </si>
  <si>
    <t>&lt; 0.5</t>
  </si>
  <si>
    <t>&lt; 0.1</t>
  </si>
  <si>
    <t>&lt; 0.02</t>
  </si>
  <si>
    <t>&lt; 0.05</t>
  </si>
  <si>
    <t>E10-21 403</t>
  </si>
  <si>
    <t>&lt; 2</t>
  </si>
  <si>
    <t>E10-21 404</t>
  </si>
  <si>
    <t>E10-21 405</t>
  </si>
  <si>
    <t>E10-21 408</t>
  </si>
  <si>
    <t>&lt; 5</t>
  </si>
  <si>
    <t>E10-21 410</t>
  </si>
  <si>
    <t>E11-105-132</t>
  </si>
  <si>
    <t>E11-116 305</t>
  </si>
  <si>
    <t>E11-116 306</t>
  </si>
  <si>
    <t>E11-116 307</t>
  </si>
  <si>
    <t>E11-116 309</t>
  </si>
  <si>
    <t>E11-145-113</t>
  </si>
  <si>
    <t>E11-145-114</t>
  </si>
  <si>
    <t>E11-145-87</t>
  </si>
  <si>
    <t>E11-145-98</t>
  </si>
  <si>
    <t>E11-62-220</t>
  </si>
  <si>
    <t>E11-95-254</t>
  </si>
  <si>
    <t>E11-145-111</t>
  </si>
  <si>
    <t>E11-145-91</t>
  </si>
  <si>
    <t>E11-145-96</t>
  </si>
  <si>
    <t>E11-145-99</t>
  </si>
  <si>
    <t>E11-60-173</t>
  </si>
  <si>
    <t>&lt; 0.01</t>
  </si>
  <si>
    <t>E11-62-243</t>
  </si>
  <si>
    <t>E11-89-3</t>
  </si>
  <si>
    <t>E11-89-6</t>
  </si>
  <si>
    <t>E11-89-8</t>
  </si>
  <si>
    <t>E11-95-260</t>
  </si>
  <si>
    <t>E11-116 304</t>
  </si>
  <si>
    <t>Quartz porphyritic diorite</t>
  </si>
  <si>
    <t>E11-58-197</t>
  </si>
  <si>
    <t>E11-60-172</t>
  </si>
  <si>
    <t>E11-95-255</t>
  </si>
  <si>
    <t>Sample</t>
  </si>
  <si>
    <t>437-1</t>
  </si>
  <si>
    <t>031-3</t>
  </si>
  <si>
    <t>034-1</t>
  </si>
  <si>
    <t>443-1</t>
  </si>
  <si>
    <t>427-1</t>
  </si>
  <si>
    <t>416-3</t>
  </si>
  <si>
    <t>03SJP013-2-1(2)</t>
  </si>
  <si>
    <t>03SJP096-2-1</t>
  </si>
  <si>
    <t>N.D.</t>
  </si>
  <si>
    <t>03SJP022-1</t>
  </si>
  <si>
    <t>Tonalite/granodiorite</t>
  </si>
  <si>
    <t>03SJP047-2-1</t>
  </si>
  <si>
    <t>Quartz-feldspar porphyry</t>
  </si>
  <si>
    <t>ND</t>
  </si>
  <si>
    <t>WC04-04-01</t>
  </si>
  <si>
    <t>WC04-04-02</t>
  </si>
  <si>
    <t>WC04-04-03</t>
  </si>
  <si>
    <t>WC04-04-04</t>
  </si>
  <si>
    <t>WC04-03-02</t>
  </si>
  <si>
    <t>WC04-03-01</t>
  </si>
  <si>
    <t>From literature</t>
  </si>
  <si>
    <t>Katz 2016, Ph.D. thesis Laurentian University</t>
  </si>
  <si>
    <t>Galley, 2003</t>
  </si>
  <si>
    <t>Piercey et al., 2008</t>
  </si>
  <si>
    <t>Katz, L. R. (2016). Geology of the Archean Côté Gold Au (-Cu) intrusion-related deposit, Swayze greenstone belt, Ontario. Laurentian University of Sudbury, 1–328.</t>
  </si>
  <si>
    <t>References</t>
  </si>
  <si>
    <r>
      <t xml:space="preserve">Galley, A. G. (2003). Composite synvolcanic intrusions associated with Precambrian VMS-related hydrothermal systems. </t>
    </r>
    <r>
      <rPr>
        <i/>
        <sz val="10"/>
        <color rgb="FF000000"/>
        <rFont val="Helvetica"/>
        <family val="2"/>
      </rPr>
      <t xml:space="preserve">Mineralium Deposita </t>
    </r>
    <r>
      <rPr>
        <b/>
        <sz val="10"/>
        <color rgb="FF000000"/>
        <rFont val="Helvetica"/>
        <family val="2"/>
      </rPr>
      <t>38</t>
    </r>
    <r>
      <rPr>
        <sz val="10"/>
        <color rgb="FF000000"/>
        <rFont val="Helvetica"/>
        <family val="2"/>
      </rPr>
      <t>, 443–473.</t>
    </r>
  </si>
  <si>
    <r>
      <t xml:space="preserve">Piercey, S. J., Chaloux, E. C., Péloquin, A. S., Hamilton, M. A. &amp; Creaser, R. A. (2008). Synvolcanic and younger plutonic rocks from the Blake River Group: implications for regional metallogenesis. </t>
    </r>
    <r>
      <rPr>
        <i/>
        <sz val="10"/>
        <color rgb="FF000000"/>
        <rFont val="Helvetica"/>
        <family val="2"/>
      </rPr>
      <t xml:space="preserve">Economic Geology </t>
    </r>
    <r>
      <rPr>
        <b/>
        <sz val="10"/>
        <color rgb="FF000000"/>
        <rFont val="Helvetica"/>
        <family val="2"/>
      </rPr>
      <t>103</t>
    </r>
    <r>
      <rPr>
        <sz val="10"/>
        <color rgb="FF000000"/>
        <rFont val="Helvetica"/>
        <family val="2"/>
      </rPr>
      <t>, 1243–1268.</t>
    </r>
  </si>
  <si>
    <t>Averages for Clifford tonalite</t>
  </si>
  <si>
    <t>Averages for Côté Gold diorite/quartz diorite</t>
  </si>
  <si>
    <t>Averages for Flavrian-St-Jude trondhjemite</t>
  </si>
  <si>
    <t>Diorite (tonalite)</t>
  </si>
  <si>
    <t>Diorite porphyry (feldspar porphyry)</t>
  </si>
  <si>
    <t>SD</t>
  </si>
  <si>
    <t>Min</t>
  </si>
  <si>
    <t>Max</t>
  </si>
  <si>
    <t>Count</t>
  </si>
  <si>
    <t>Averages for Clifford tonalite and feldspar porphyry</t>
  </si>
  <si>
    <t>(Normalized to anhydrous composition)</t>
  </si>
  <si>
    <t>AST (ºC) [using LOI-free composition]</t>
  </si>
  <si>
    <t>CT-01 (Z10896)</t>
  </si>
  <si>
    <t>CT-02 (Z10993)</t>
  </si>
  <si>
    <t>Duplicates</t>
  </si>
  <si>
    <t>Seconday reference sample</t>
  </si>
  <si>
    <t>LK-NIP-1</t>
  </si>
  <si>
    <t>Isotopic ratios</t>
  </si>
  <si>
    <t>Elements (ppm)</t>
  </si>
  <si>
    <t>Normalized rare earth elements</t>
  </si>
  <si>
    <t>Analysis</t>
  </si>
  <si>
    <t>Session</t>
  </si>
  <si>
    <t>Note</t>
  </si>
  <si>
    <t>Duration(s)</t>
  </si>
  <si>
    <r>
      <rPr>
        <b/>
        <vertAlign val="superscript"/>
        <sz val="10"/>
        <color theme="1"/>
        <rFont val="Arial"/>
        <family val="2"/>
      </rPr>
      <t>207</t>
    </r>
    <r>
      <rPr>
        <b/>
        <sz val="10"/>
        <color theme="1"/>
        <rFont val="Arial"/>
        <family val="2"/>
      </rPr>
      <t>Pb/</t>
    </r>
    <r>
      <rPr>
        <b/>
        <vertAlign val="superscript"/>
        <sz val="10"/>
        <color theme="1"/>
        <rFont val="Arial"/>
        <family val="2"/>
      </rPr>
      <t>206</t>
    </r>
    <r>
      <rPr>
        <b/>
        <sz val="10"/>
        <color theme="1"/>
        <rFont val="Arial"/>
        <family val="2"/>
      </rPr>
      <t>Pb</t>
    </r>
  </si>
  <si>
    <t>2se</t>
  </si>
  <si>
    <r>
      <rPr>
        <b/>
        <vertAlign val="superscript"/>
        <sz val="10"/>
        <color theme="1"/>
        <rFont val="Arial"/>
        <family val="2"/>
      </rPr>
      <t>207</t>
    </r>
    <r>
      <rPr>
        <b/>
        <sz val="10"/>
        <color theme="1"/>
        <rFont val="Arial"/>
        <family val="2"/>
      </rPr>
      <t>Pb/</t>
    </r>
    <r>
      <rPr>
        <b/>
        <vertAlign val="superscript"/>
        <sz val="10"/>
        <color theme="1"/>
        <rFont val="Arial"/>
        <family val="2"/>
      </rPr>
      <t>235</t>
    </r>
    <r>
      <rPr>
        <b/>
        <sz val="10"/>
        <color theme="1"/>
        <rFont val="Arial"/>
        <family val="2"/>
      </rPr>
      <t>U</t>
    </r>
  </si>
  <si>
    <r>
      <rPr>
        <b/>
        <vertAlign val="superscript"/>
        <sz val="10"/>
        <color theme="1"/>
        <rFont val="Arial"/>
        <family val="2"/>
      </rPr>
      <t>206</t>
    </r>
    <r>
      <rPr>
        <b/>
        <sz val="10"/>
        <color theme="1"/>
        <rFont val="Arial"/>
        <family val="2"/>
      </rPr>
      <t>Pb/</t>
    </r>
    <r>
      <rPr>
        <b/>
        <vertAlign val="superscript"/>
        <sz val="10"/>
        <color theme="1"/>
        <rFont val="Arial"/>
        <family val="2"/>
      </rPr>
      <t>238</t>
    </r>
    <r>
      <rPr>
        <b/>
        <sz val="10"/>
        <color theme="1"/>
        <rFont val="Arial"/>
        <family val="2"/>
      </rPr>
      <t>U</t>
    </r>
  </si>
  <si>
    <t>Error Correlation</t>
  </si>
  <si>
    <r>
      <rPr>
        <b/>
        <vertAlign val="superscript"/>
        <sz val="10"/>
        <color theme="1"/>
        <rFont val="Arial"/>
        <family val="2"/>
      </rPr>
      <t>206</t>
    </r>
    <r>
      <rPr>
        <b/>
        <sz val="10"/>
        <color theme="1"/>
        <rFont val="Arial"/>
        <family val="2"/>
      </rPr>
      <t>Pb/</t>
    </r>
    <r>
      <rPr>
        <b/>
        <vertAlign val="superscript"/>
        <sz val="10"/>
        <color theme="1"/>
        <rFont val="Arial"/>
        <family val="2"/>
      </rPr>
      <t>238</t>
    </r>
    <r>
      <rPr>
        <b/>
        <sz val="10"/>
        <color theme="1"/>
        <rFont val="Arial"/>
        <family val="2"/>
      </rPr>
      <t>U age</t>
    </r>
  </si>
  <si>
    <t>DiscPercent</t>
  </si>
  <si>
    <t>Fraction of CommonPb</t>
  </si>
  <si>
    <t>U/Yb</t>
  </si>
  <si>
    <t>Ce/Nd</t>
  </si>
  <si>
    <t>Zr/Hf</t>
  </si>
  <si>
    <t>Th/U</t>
  </si>
  <si>
    <t>Ce/Ce*</t>
  </si>
  <si>
    <t>(Ce/Nd)/Y</t>
  </si>
  <si>
    <t>U(initial)</t>
  </si>
  <si>
    <t>Ti-in-zircon temperatures (ɑTiO2 = 0.75)</t>
  </si>
  <si>
    <t>Ti-in-zircon temperatures (ɑTiO2 = 0.5)</t>
  </si>
  <si>
    <t>se</t>
  </si>
  <si>
    <t>FMQ</t>
  </si>
  <si>
    <t>Chondrite value</t>
  </si>
  <si>
    <t>Z10896-1</t>
  </si>
  <si>
    <t>S1 20190522</t>
  </si>
  <si>
    <t>Z10896-2</t>
  </si>
  <si>
    <t>Z10896-3</t>
  </si>
  <si>
    <t>Z10896-4</t>
  </si>
  <si>
    <t>Z10896-5</t>
  </si>
  <si>
    <t>Z10896-6</t>
  </si>
  <si>
    <t>Below LOD</t>
  </si>
  <si>
    <t>Z10896-7</t>
  </si>
  <si>
    <t>Z10896-8</t>
  </si>
  <si>
    <t>Z10896-9</t>
  </si>
  <si>
    <t>Z10896-10</t>
  </si>
  <si>
    <t>Z10896-11</t>
  </si>
  <si>
    <t>Z10896-12</t>
  </si>
  <si>
    <t>Z10896-13</t>
  </si>
  <si>
    <t>Z10896-14</t>
  </si>
  <si>
    <t>Z10896-15</t>
  </si>
  <si>
    <t>Z10896-16</t>
  </si>
  <si>
    <t>Z10896-17</t>
  </si>
  <si>
    <t>Z10896-18</t>
  </si>
  <si>
    <t>Z10896-19</t>
  </si>
  <si>
    <t>Z10896-20</t>
  </si>
  <si>
    <t>Z10896-21</t>
  </si>
  <si>
    <t>Z10896-22</t>
  </si>
  <si>
    <t>Z10896O-1</t>
  </si>
  <si>
    <t>S2 20190803</t>
  </si>
  <si>
    <t>Z10896O-2</t>
  </si>
  <si>
    <t>Z10896O-3</t>
  </si>
  <si>
    <t>Z10896O-4</t>
  </si>
  <si>
    <t>Z10896O-5</t>
  </si>
  <si>
    <t>Z10896O-6</t>
  </si>
  <si>
    <t>Z10896O-7</t>
  </si>
  <si>
    <t>Z10896O-8</t>
  </si>
  <si>
    <t>Z10896O-9</t>
  </si>
  <si>
    <t>Z10896O-10</t>
  </si>
  <si>
    <t>Z10896O-11</t>
  </si>
  <si>
    <t>Z10896O-12</t>
  </si>
  <si>
    <t>Z10896O-13</t>
  </si>
  <si>
    <t>Average</t>
  </si>
  <si>
    <t>Median</t>
  </si>
  <si>
    <t>RSD(%)</t>
  </si>
  <si>
    <t>Z10993-1</t>
  </si>
  <si>
    <t>Core</t>
  </si>
  <si>
    <t>Z10993-2</t>
  </si>
  <si>
    <t>Rim</t>
  </si>
  <si>
    <t>Z10993-3</t>
  </si>
  <si>
    <t>Z10993-4</t>
  </si>
  <si>
    <t>Z10993-5</t>
  </si>
  <si>
    <t>Z10993-6</t>
  </si>
  <si>
    <t>Z10993-7</t>
  </si>
  <si>
    <t>Z10993-8</t>
  </si>
  <si>
    <t>Z10993-9</t>
  </si>
  <si>
    <t>Z10993-10</t>
  </si>
  <si>
    <t>Z10993-11</t>
  </si>
  <si>
    <t>Z10993-12</t>
  </si>
  <si>
    <t>Z10993-13</t>
  </si>
  <si>
    <t>Z10993-14</t>
  </si>
  <si>
    <t>Z10993-15</t>
  </si>
  <si>
    <t>Z10993-16</t>
  </si>
  <si>
    <t>Z10993-17</t>
  </si>
  <si>
    <t>Z10993-18</t>
  </si>
  <si>
    <t>Z10993-19</t>
  </si>
  <si>
    <t>Z10993-20</t>
  </si>
  <si>
    <t>Z10993-21</t>
  </si>
  <si>
    <t>Z10993-22</t>
  </si>
  <si>
    <t>Z10993-23</t>
  </si>
  <si>
    <t>Z10993-24</t>
  </si>
  <si>
    <t>Z10993O-1</t>
  </si>
  <si>
    <t>Z10993O-2</t>
  </si>
  <si>
    <t>Z10993O-3</t>
  </si>
  <si>
    <t>Z10993O-4</t>
  </si>
  <si>
    <t>Z10993O-5</t>
  </si>
  <si>
    <t>Z10993O-6</t>
  </si>
  <si>
    <t>Z10993O-7</t>
  </si>
  <si>
    <t>Z10993O-8</t>
  </si>
  <si>
    <t>Z10993O-9</t>
  </si>
  <si>
    <t>Z10993O-10</t>
  </si>
  <si>
    <t>Z10993O-11</t>
  </si>
  <si>
    <t>Z10993O-12</t>
  </si>
  <si>
    <t>FLV-22-1</t>
  </si>
  <si>
    <t>FLV-22-2</t>
  </si>
  <si>
    <t>FLV-22-3</t>
  </si>
  <si>
    <t>FLV-22-4</t>
  </si>
  <si>
    <t>FLV-22-5</t>
  </si>
  <si>
    <t>FLV-22-6</t>
  </si>
  <si>
    <t>FLV-22-7</t>
  </si>
  <si>
    <t>FLV-22-8</t>
  </si>
  <si>
    <t>FLV-22-9</t>
  </si>
  <si>
    <t>FLV-22-10</t>
  </si>
  <si>
    <t>FLV-22-11</t>
  </si>
  <si>
    <t>FLV-22-12</t>
  </si>
  <si>
    <t>FLV-22-13</t>
  </si>
  <si>
    <t>FLV-22-14</t>
  </si>
  <si>
    <t>FLV-22-15</t>
  </si>
  <si>
    <t>FLV-22-16</t>
  </si>
  <si>
    <t>FLV-22-17</t>
  </si>
  <si>
    <t>FLV-22-18</t>
  </si>
  <si>
    <t>FLV-22-19</t>
  </si>
  <si>
    <t>FLV-22-20</t>
  </si>
  <si>
    <t>FLV-22-21</t>
  </si>
  <si>
    <t>FLV-22O-1</t>
  </si>
  <si>
    <t>FLV-22O-2</t>
  </si>
  <si>
    <t>FLV-22O-3</t>
  </si>
  <si>
    <t>FLV-22O-4</t>
  </si>
  <si>
    <t>FLV-22O-5</t>
  </si>
  <si>
    <t>FLV-22O-6</t>
  </si>
  <si>
    <t>FLV-22O-7</t>
  </si>
  <si>
    <t>FLV-22O-8</t>
  </si>
  <si>
    <t>FLV-22O-9</t>
  </si>
  <si>
    <t>FLV-22O-10</t>
  </si>
  <si>
    <t>FLV-22O-11</t>
  </si>
  <si>
    <t>FLV-22O-12</t>
  </si>
  <si>
    <t>FLV-22O-13</t>
  </si>
  <si>
    <t>FLV-22O-14</t>
  </si>
  <si>
    <t>FLV-22O-15</t>
  </si>
  <si>
    <t>FLV-22O-16</t>
  </si>
  <si>
    <t>FLV-22O-17</t>
  </si>
  <si>
    <t>FLV-22O-18</t>
  </si>
  <si>
    <t>FLV-22O-19</t>
  </si>
  <si>
    <t>FLV-22O-20</t>
  </si>
  <si>
    <t>FLV-22O-21</t>
  </si>
  <si>
    <t>FLV-22O-22</t>
  </si>
  <si>
    <t>FLV-28-1</t>
  </si>
  <si>
    <t>FLV-28-2</t>
  </si>
  <si>
    <t>FLV-28-3</t>
  </si>
  <si>
    <t>FLV-28-4</t>
  </si>
  <si>
    <t>FLV-28-5</t>
  </si>
  <si>
    <t>FLV-28-6</t>
  </si>
  <si>
    <t>FLV-28-7</t>
  </si>
  <si>
    <t>FLV-28-8</t>
  </si>
  <si>
    <t>FLV-28-9</t>
  </si>
  <si>
    <t>FLV-28-10</t>
  </si>
  <si>
    <t>FLV-28-11</t>
  </si>
  <si>
    <t>FLV-28-12</t>
  </si>
  <si>
    <t>FLV-28-13</t>
  </si>
  <si>
    <t>FLV-28-14</t>
  </si>
  <si>
    <t>FLV-28-15</t>
  </si>
  <si>
    <t>FLV-28-16</t>
  </si>
  <si>
    <t>FLV-28-17</t>
  </si>
  <si>
    <t>FLV-28-18</t>
  </si>
  <si>
    <t>FLV-28-19</t>
  </si>
  <si>
    <t>FLV-28-20</t>
  </si>
  <si>
    <t>FLV-28-21</t>
  </si>
  <si>
    <t>FLV-28-22</t>
  </si>
  <si>
    <t>FLV-28O-1</t>
  </si>
  <si>
    <t>FLV-28O-2</t>
  </si>
  <si>
    <t>FLV-28O-3</t>
  </si>
  <si>
    <t>FLV-28O-4</t>
  </si>
  <si>
    <t>FLV-28O-5</t>
  </si>
  <si>
    <t>FLV-28O-6</t>
  </si>
  <si>
    <t>FLV-28O-7</t>
  </si>
  <si>
    <t>FLV-28O-8</t>
  </si>
  <si>
    <t>FLV-28O-9</t>
  </si>
  <si>
    <t>FLV-28O-10</t>
  </si>
  <si>
    <t>FLV-28O-11</t>
  </si>
  <si>
    <t>FLV-28O-12</t>
  </si>
  <si>
    <t>FLV-04-1</t>
  </si>
  <si>
    <t>FLV-04-2</t>
  </si>
  <si>
    <t>FLV-04-3</t>
  </si>
  <si>
    <t>FLV-04-4</t>
  </si>
  <si>
    <t>FLV-04-5</t>
  </si>
  <si>
    <t>FLV-04-6</t>
  </si>
  <si>
    <t>FLV-04-7</t>
  </si>
  <si>
    <t>FLV-04-8</t>
  </si>
  <si>
    <t>FLV-04-9</t>
  </si>
  <si>
    <t>FLV-04-10</t>
  </si>
  <si>
    <t>FLV-04-11</t>
  </si>
  <si>
    <t>FLV-04-12</t>
  </si>
  <si>
    <t>FLV-04-13</t>
  </si>
  <si>
    <t>FLV-04-14</t>
  </si>
  <si>
    <t>FLV-04-15</t>
  </si>
  <si>
    <t>FLV-04-16</t>
  </si>
  <si>
    <t>FLV-04-17</t>
  </si>
  <si>
    <t>FLV-04-18</t>
  </si>
  <si>
    <t>FLV-04-19</t>
  </si>
  <si>
    <t>FLV-04-20</t>
  </si>
  <si>
    <t>FLV-04-21</t>
  </si>
  <si>
    <t>FLV-04-22</t>
  </si>
  <si>
    <t>FLV-04-23</t>
  </si>
  <si>
    <t>FLV-04-24</t>
  </si>
  <si>
    <t>FLV-04-25</t>
  </si>
  <si>
    <t>FLV-04-26</t>
  </si>
  <si>
    <t>FLV-04O-1</t>
  </si>
  <si>
    <t>FLV-04O-2</t>
  </si>
  <si>
    <t>FLV-04O-3</t>
  </si>
  <si>
    <t>FLV-04O-4</t>
  </si>
  <si>
    <t>FLV-04O-5</t>
  </si>
  <si>
    <t>FLV-04O-6</t>
  </si>
  <si>
    <t>FLV-04O-7</t>
  </si>
  <si>
    <t>FLV-04O-8</t>
  </si>
  <si>
    <t>FLV-04O-9</t>
  </si>
  <si>
    <t>FLV-04O-10</t>
  </si>
  <si>
    <t>FLV-04O-11</t>
  </si>
  <si>
    <t>FLV-04O-12</t>
  </si>
  <si>
    <t>FLV-04O-13</t>
  </si>
  <si>
    <t>FLV-04O-14</t>
  </si>
  <si>
    <t>FLV-04O-15</t>
  </si>
  <si>
    <t>FLV-04O-16</t>
  </si>
  <si>
    <t>FLV-04O-17</t>
  </si>
  <si>
    <t>FLV-04O-18</t>
  </si>
  <si>
    <t>FLV-04O-19</t>
  </si>
  <si>
    <t>FLV-04O-20</t>
  </si>
  <si>
    <t>SJ-04-1</t>
  </si>
  <si>
    <t>SJ-04-2</t>
  </si>
  <si>
    <t>SJ-04-3</t>
  </si>
  <si>
    <t>SJ-04-4</t>
  </si>
  <si>
    <t>SJ-04-5</t>
  </si>
  <si>
    <t>SJ-04-6</t>
  </si>
  <si>
    <t>SJ-04-7</t>
  </si>
  <si>
    <t>SJ-04-8</t>
  </si>
  <si>
    <t>SJ-04-9</t>
  </si>
  <si>
    <t>Xenocryst</t>
  </si>
  <si>
    <t>SJ-04-10</t>
  </si>
  <si>
    <t>SJ-04-11</t>
  </si>
  <si>
    <t>SJ-04-12</t>
  </si>
  <si>
    <t>SJ-04-13</t>
  </si>
  <si>
    <t>SJ-04-14</t>
  </si>
  <si>
    <t>SJ-04-15</t>
  </si>
  <si>
    <t>SJ-04-16</t>
  </si>
  <si>
    <t>SJ-04-17</t>
  </si>
  <si>
    <t>SJ-04-18</t>
  </si>
  <si>
    <t>SJ-04-19</t>
  </si>
  <si>
    <t>SJ-04-20</t>
  </si>
  <si>
    <t>SJ-04-21</t>
  </si>
  <si>
    <t>SJ-04-22</t>
  </si>
  <si>
    <t>SJ-04O-1</t>
  </si>
  <si>
    <t>SJ-04O-2</t>
  </si>
  <si>
    <t>SJ-04O-3</t>
  </si>
  <si>
    <t>SJ-04O-4</t>
  </si>
  <si>
    <t>SJ-04O-5</t>
  </si>
  <si>
    <t>SJ-04O-6</t>
  </si>
  <si>
    <t>SJ-04O-7</t>
  </si>
  <si>
    <t>SJ-04O-8</t>
  </si>
  <si>
    <t>SJ-04O-9</t>
  </si>
  <si>
    <t>CS-20-1</t>
  </si>
  <si>
    <t>CS-20-2</t>
  </si>
  <si>
    <t>CS-20-3</t>
  </si>
  <si>
    <t>no value</t>
  </si>
  <si>
    <t>NAN</t>
  </si>
  <si>
    <t>NaN</t>
  </si>
  <si>
    <t>CS-20-4</t>
  </si>
  <si>
    <t>CS-20-5</t>
  </si>
  <si>
    <t>CS-20-6</t>
  </si>
  <si>
    <t>CS-20-7</t>
  </si>
  <si>
    <t>CS-20-8</t>
  </si>
  <si>
    <t>CS-20-9</t>
  </si>
  <si>
    <t>CS-20-10</t>
  </si>
  <si>
    <t>CS-20-11</t>
  </si>
  <si>
    <t>CS-20-12</t>
  </si>
  <si>
    <t>CS-20-13</t>
  </si>
  <si>
    <t>CS-20-14</t>
  </si>
  <si>
    <t>CS-20-15</t>
  </si>
  <si>
    <t>CS-20-16</t>
  </si>
  <si>
    <t>CS-20-17</t>
  </si>
  <si>
    <t>CS-20-18</t>
  </si>
  <si>
    <t>CS-20-19</t>
  </si>
  <si>
    <t>CS-20-20</t>
  </si>
  <si>
    <t>CS-20-21</t>
  </si>
  <si>
    <t>CS-20-22</t>
  </si>
  <si>
    <t>CS-20-23</t>
  </si>
  <si>
    <t>CS-20-24</t>
  </si>
  <si>
    <t>CS-20-25</t>
  </si>
  <si>
    <t>CS-20O-1</t>
  </si>
  <si>
    <t>CS-20O-2</t>
  </si>
  <si>
    <t>CS-20O-3</t>
  </si>
  <si>
    <t>CS-20O-4</t>
  </si>
  <si>
    <t>CS-20O-5</t>
  </si>
  <si>
    <t>CS-20O-6</t>
  </si>
  <si>
    <t>CS-20O-7</t>
  </si>
  <si>
    <t>CS-20O-8</t>
  </si>
  <si>
    <t>CS-20O-9</t>
  </si>
  <si>
    <t>CS-20O-10</t>
  </si>
  <si>
    <t>CS-20O-11</t>
  </si>
  <si>
    <t>CS-20O-12</t>
  </si>
  <si>
    <t>CS-20O-13</t>
  </si>
  <si>
    <t>CS-20O-14</t>
  </si>
  <si>
    <t>CS-20O-15</t>
  </si>
  <si>
    <t>CS-22-1</t>
  </si>
  <si>
    <t>CS-22-2</t>
  </si>
  <si>
    <t>CS-22-3</t>
  </si>
  <si>
    <t>CS-22-4</t>
  </si>
  <si>
    <t>CS-22-5</t>
  </si>
  <si>
    <t>CS-22-6</t>
  </si>
  <si>
    <t>CS-22-7</t>
  </si>
  <si>
    <t>CS-22-8</t>
  </si>
  <si>
    <t>CS-22-9</t>
  </si>
  <si>
    <t>CS-22-10</t>
  </si>
  <si>
    <t>CS-22-11</t>
  </si>
  <si>
    <t>CS-22-12</t>
  </si>
  <si>
    <t>CS-22-13</t>
  </si>
  <si>
    <t>CS-22O-1</t>
  </si>
  <si>
    <t>CS-22O-2</t>
  </si>
  <si>
    <t>CS-22O-3</t>
  </si>
  <si>
    <t>CS-22O-4</t>
  </si>
  <si>
    <t>CS-22O-5</t>
  </si>
  <si>
    <t>CS-22O-6</t>
  </si>
  <si>
    <t>CS-22O-7</t>
  </si>
  <si>
    <t>CS-22O-8</t>
  </si>
  <si>
    <t>CS-22O-9</t>
  </si>
  <si>
    <t>CS-22O-10</t>
  </si>
  <si>
    <t>CS-22O-11</t>
  </si>
  <si>
    <t>CS-22O-12</t>
  </si>
  <si>
    <t>CS-22O-13</t>
  </si>
  <si>
    <t>CS-22O-14</t>
  </si>
  <si>
    <t>CS-22O-15</t>
  </si>
  <si>
    <t>CS-22O-16</t>
  </si>
  <si>
    <t>Standard reference materials</t>
  </si>
  <si>
    <t>Grn_1</t>
  </si>
  <si>
    <t>Grn_2</t>
  </si>
  <si>
    <t>Grn_3</t>
  </si>
  <si>
    <t>Grn_4</t>
  </si>
  <si>
    <t>Grn_5</t>
  </si>
  <si>
    <t>Grn_6</t>
  </si>
  <si>
    <t>Grn_7</t>
  </si>
  <si>
    <t>Grn_8</t>
  </si>
  <si>
    <t>Grn_9</t>
  </si>
  <si>
    <t>Grn_10</t>
  </si>
  <si>
    <t>610_1</t>
  </si>
  <si>
    <t>610_2</t>
  </si>
  <si>
    <t>610_3</t>
  </si>
  <si>
    <t>610_4</t>
  </si>
  <si>
    <t>610_5</t>
  </si>
  <si>
    <t>610_6</t>
  </si>
  <si>
    <t>610_7</t>
  </si>
  <si>
    <t>610_8</t>
  </si>
  <si>
    <t>610_9</t>
  </si>
  <si>
    <t>610_10</t>
  </si>
  <si>
    <t>610_11</t>
  </si>
  <si>
    <t>610_12</t>
  </si>
  <si>
    <t>610_13</t>
  </si>
  <si>
    <t>610_14</t>
  </si>
  <si>
    <t>610_15</t>
  </si>
  <si>
    <t>610_16</t>
  </si>
  <si>
    <t>610_17</t>
  </si>
  <si>
    <t>610_18</t>
  </si>
  <si>
    <t>610_19</t>
  </si>
  <si>
    <t>610_20</t>
  </si>
  <si>
    <t>610_21</t>
  </si>
  <si>
    <t>610_22</t>
  </si>
  <si>
    <t>610_23</t>
  </si>
  <si>
    <t>610_24</t>
  </si>
  <si>
    <t>610_25</t>
  </si>
  <si>
    <t>610_26</t>
  </si>
  <si>
    <t>610_27</t>
  </si>
  <si>
    <t>610_28</t>
  </si>
  <si>
    <t>610_29</t>
  </si>
  <si>
    <t>612_1</t>
  </si>
  <si>
    <t>612_2</t>
  </si>
  <si>
    <t>612_3</t>
  </si>
  <si>
    <t>612_4</t>
  </si>
  <si>
    <t>612_5</t>
  </si>
  <si>
    <t>612_6</t>
  </si>
  <si>
    <t>612_7</t>
  </si>
  <si>
    <t>612_8</t>
  </si>
  <si>
    <t>612_9</t>
  </si>
  <si>
    <t>612_10</t>
  </si>
  <si>
    <t>TanBrA_1</t>
  </si>
  <si>
    <t>TanBrA_2</t>
  </si>
  <si>
    <t>TanBrA_3</t>
  </si>
  <si>
    <t>TanBrA_4</t>
  </si>
  <si>
    <t>TanBrA_5</t>
  </si>
  <si>
    <t>TanBrA_6</t>
  </si>
  <si>
    <t>TanBrA_7</t>
  </si>
  <si>
    <t>TanBrA_8</t>
  </si>
  <si>
    <t>TanBrA_9</t>
  </si>
  <si>
    <t>TanBrA_10</t>
  </si>
  <si>
    <t>OGC_1</t>
  </si>
  <si>
    <t>OGC_2</t>
  </si>
  <si>
    <t>OGC_3</t>
  </si>
  <si>
    <t>OGC_4</t>
  </si>
  <si>
    <t>OGC_5</t>
  </si>
  <si>
    <t>OGC_6</t>
  </si>
  <si>
    <t>OGC_7</t>
  </si>
  <si>
    <t>OGC_8</t>
  </si>
  <si>
    <t>OGC_9</t>
  </si>
  <si>
    <t>OGC_10</t>
  </si>
  <si>
    <t>OGC_11</t>
  </si>
  <si>
    <t>OGC_12</t>
  </si>
  <si>
    <t>OGC_13</t>
  </si>
  <si>
    <t>OGC_14</t>
  </si>
  <si>
    <t>OGC_15</t>
  </si>
  <si>
    <t>OGC_16</t>
  </si>
  <si>
    <t>OGC_17</t>
  </si>
  <si>
    <t>OGC_18</t>
  </si>
  <si>
    <t>OGC_19</t>
  </si>
  <si>
    <t>OGC_20</t>
  </si>
  <si>
    <t>OGC_21</t>
  </si>
  <si>
    <t>OGC_22</t>
  </si>
  <si>
    <t>OGC_23</t>
  </si>
  <si>
    <t>OGC_24</t>
  </si>
  <si>
    <t>OGC_25</t>
  </si>
  <si>
    <t>OGC_27</t>
  </si>
  <si>
    <t>OGC_28</t>
  </si>
  <si>
    <t>OGC_29</t>
  </si>
  <si>
    <t>OGC_30</t>
  </si>
  <si>
    <t>OGC_31</t>
  </si>
  <si>
    <t>OGC_32</t>
  </si>
  <si>
    <t>OGC_33</t>
  </si>
  <si>
    <t>OGC_34</t>
  </si>
  <si>
    <t>OGC_35</t>
  </si>
  <si>
    <t>OGC_36</t>
  </si>
  <si>
    <t>OGC_37</t>
  </si>
  <si>
    <t>OGC_38</t>
  </si>
  <si>
    <t>OGC_39</t>
  </si>
  <si>
    <t>OGC_26</t>
  </si>
  <si>
    <t>OGC_40</t>
  </si>
  <si>
    <t>OGC_41</t>
  </si>
  <si>
    <t>OGC_42</t>
  </si>
  <si>
    <t>OGC_43</t>
  </si>
  <si>
    <t>OGC_44</t>
  </si>
  <si>
    <t>OGC_45</t>
  </si>
  <si>
    <t>OGC_46</t>
  </si>
  <si>
    <t>OGC_47</t>
  </si>
  <si>
    <t>OGC_48</t>
  </si>
  <si>
    <t>OGC_50</t>
  </si>
  <si>
    <t>OGC_51</t>
  </si>
  <si>
    <t>OGC_52</t>
  </si>
  <si>
    <t>OGC_53</t>
  </si>
  <si>
    <t>OGC_54</t>
  </si>
  <si>
    <t>OGC_55</t>
  </si>
  <si>
    <t>OGC_56</t>
  </si>
  <si>
    <t>OGC_57</t>
  </si>
  <si>
    <t>OGC_58</t>
  </si>
  <si>
    <t>91500_1</t>
  </si>
  <si>
    <t>91500_2</t>
  </si>
  <si>
    <t>91500_3</t>
  </si>
  <si>
    <t>91500_4</t>
  </si>
  <si>
    <t>91500_5</t>
  </si>
  <si>
    <t>91500_6</t>
  </si>
  <si>
    <t>91500_8</t>
  </si>
  <si>
    <t>91500_9</t>
  </si>
  <si>
    <t>91500_10</t>
  </si>
  <si>
    <t>91500_11</t>
  </si>
  <si>
    <t>91500_12</t>
  </si>
  <si>
    <t>91500_13</t>
  </si>
  <si>
    <t>91500_14</t>
  </si>
  <si>
    <t>91500_15</t>
  </si>
  <si>
    <t>91500_16</t>
  </si>
  <si>
    <t>91500_17</t>
  </si>
  <si>
    <t>91500_18</t>
  </si>
  <si>
    <t>91500_19</t>
  </si>
  <si>
    <t>91500_20</t>
  </si>
  <si>
    <t>91500_7</t>
  </si>
  <si>
    <t>Sample No.</t>
  </si>
  <si>
    <t>Age (yr)</t>
  </si>
  <si>
    <r>
      <t xml:space="preserve">Corrected </t>
    </r>
    <r>
      <rPr>
        <b/>
        <vertAlign val="superscript"/>
        <sz val="10"/>
        <color theme="1"/>
        <rFont val="Arial"/>
        <family val="2"/>
      </rPr>
      <t>176</t>
    </r>
    <r>
      <rPr>
        <b/>
        <sz val="10"/>
        <color theme="1"/>
        <rFont val="Arial"/>
        <family val="2"/>
      </rPr>
      <t>Hf/</t>
    </r>
    <r>
      <rPr>
        <b/>
        <vertAlign val="superscript"/>
        <sz val="10"/>
        <color theme="1"/>
        <rFont val="Arial"/>
        <family val="2"/>
      </rPr>
      <t>177</t>
    </r>
    <r>
      <rPr>
        <b/>
        <sz val="10"/>
        <color theme="1"/>
        <rFont val="Arial"/>
        <family val="2"/>
      </rPr>
      <t>Hf</t>
    </r>
  </si>
  <si>
    <t>2σ (propagation)</t>
  </si>
  <si>
    <r>
      <rPr>
        <b/>
        <vertAlign val="superscript"/>
        <sz val="10"/>
        <color theme="1"/>
        <rFont val="Arial"/>
        <family val="2"/>
      </rPr>
      <t>178</t>
    </r>
    <r>
      <rPr>
        <b/>
        <sz val="10"/>
        <color theme="1"/>
        <rFont val="Arial"/>
        <family val="2"/>
      </rPr>
      <t>Hf/</t>
    </r>
    <r>
      <rPr>
        <b/>
        <vertAlign val="superscript"/>
        <sz val="10"/>
        <color theme="1"/>
        <rFont val="Arial"/>
        <family val="2"/>
      </rPr>
      <t>177</t>
    </r>
    <r>
      <rPr>
        <b/>
        <sz val="10"/>
        <color theme="1"/>
        <rFont val="Arial"/>
        <family val="2"/>
      </rPr>
      <t>Hf</t>
    </r>
  </si>
  <si>
    <t>2σ</t>
  </si>
  <si>
    <r>
      <rPr>
        <b/>
        <vertAlign val="superscript"/>
        <sz val="10"/>
        <color theme="1"/>
        <rFont val="Arial"/>
        <family val="2"/>
      </rPr>
      <t>176</t>
    </r>
    <r>
      <rPr>
        <b/>
        <sz val="10"/>
        <color theme="1"/>
        <rFont val="Arial"/>
        <family val="2"/>
      </rPr>
      <t>Lu/</t>
    </r>
    <r>
      <rPr>
        <b/>
        <vertAlign val="superscript"/>
        <sz val="10"/>
        <color theme="1"/>
        <rFont val="Arial"/>
        <family val="2"/>
      </rPr>
      <t>177</t>
    </r>
    <r>
      <rPr>
        <b/>
        <sz val="10"/>
        <color theme="1"/>
        <rFont val="Arial"/>
        <family val="2"/>
      </rPr>
      <t>Hf</t>
    </r>
  </si>
  <si>
    <r>
      <rPr>
        <b/>
        <vertAlign val="superscript"/>
        <sz val="10"/>
        <color theme="1"/>
        <rFont val="Arial"/>
        <family val="2"/>
      </rPr>
      <t>176</t>
    </r>
    <r>
      <rPr>
        <b/>
        <sz val="10"/>
        <color theme="1"/>
        <rFont val="Arial"/>
        <family val="2"/>
      </rPr>
      <t>Yb/</t>
    </r>
    <r>
      <rPr>
        <b/>
        <vertAlign val="superscript"/>
        <sz val="10"/>
        <color theme="1"/>
        <rFont val="Arial"/>
        <family val="2"/>
      </rPr>
      <t>177</t>
    </r>
    <r>
      <rPr>
        <b/>
        <sz val="10"/>
        <color theme="1"/>
        <rFont val="Arial"/>
        <family val="2"/>
      </rPr>
      <t>Hf</t>
    </r>
  </si>
  <si>
    <r>
      <t>ℇ</t>
    </r>
    <r>
      <rPr>
        <b/>
        <vertAlign val="subscript"/>
        <sz val="10"/>
        <color theme="1"/>
        <rFont val="Arial"/>
        <family val="2"/>
      </rPr>
      <t>0</t>
    </r>
    <r>
      <rPr>
        <b/>
        <sz val="10"/>
        <color theme="1"/>
        <rFont val="Arial"/>
        <family val="2"/>
      </rPr>
      <t>Hf</t>
    </r>
  </si>
  <si>
    <r>
      <t>ℇ</t>
    </r>
    <r>
      <rPr>
        <b/>
        <vertAlign val="subscript"/>
        <sz val="10"/>
        <color theme="1"/>
        <rFont val="Arial"/>
        <family val="2"/>
      </rPr>
      <t>i</t>
    </r>
    <r>
      <rPr>
        <b/>
        <sz val="10"/>
        <color theme="1"/>
        <rFont val="Arial"/>
        <family val="2"/>
      </rPr>
      <t>Hf</t>
    </r>
  </si>
  <si>
    <r>
      <rPr>
        <b/>
        <vertAlign val="superscript"/>
        <sz val="10"/>
        <color theme="1"/>
        <rFont val="Arial"/>
        <family val="2"/>
      </rPr>
      <t>176</t>
    </r>
    <r>
      <rPr>
        <b/>
        <sz val="10"/>
        <color theme="1"/>
        <rFont val="Arial"/>
        <family val="2"/>
      </rPr>
      <t>Hf/</t>
    </r>
    <r>
      <rPr>
        <b/>
        <vertAlign val="superscript"/>
        <sz val="10"/>
        <color theme="1"/>
        <rFont val="Arial"/>
        <family val="2"/>
      </rPr>
      <t>177</t>
    </r>
    <r>
      <rPr>
        <b/>
        <sz val="10"/>
        <color theme="1"/>
        <rFont val="Arial"/>
        <family val="2"/>
      </rPr>
      <t>Hf(i)</t>
    </r>
  </si>
  <si>
    <t>TDM (Ma)</t>
  </si>
  <si>
    <t>TDMC (Ma)</t>
  </si>
  <si>
    <t>fs</t>
  </si>
  <si>
    <t>Z10896O-Hf-1</t>
  </si>
  <si>
    <t>Z10896O-Hf-2</t>
  </si>
  <si>
    <t>Z10896O-Hf-3</t>
  </si>
  <si>
    <t>Z10896O-Hf-4</t>
  </si>
  <si>
    <t>Z10896O-Hf-5</t>
  </si>
  <si>
    <t>Z10896O-Hf-6</t>
  </si>
  <si>
    <t>Z10896O-Hf-7</t>
  </si>
  <si>
    <t>Z10896O-Hf-8</t>
  </si>
  <si>
    <t>Z10896O-Hf-9</t>
  </si>
  <si>
    <t>Z10896O-Hf-10</t>
  </si>
  <si>
    <t>Z10896O-Hf-11</t>
  </si>
  <si>
    <t>Z10896O-Hf-12</t>
  </si>
  <si>
    <t>Z10896O-Hf-13</t>
  </si>
  <si>
    <t>Z10993O-Hf-2</t>
  </si>
  <si>
    <t>Z10993O-Hf-3</t>
  </si>
  <si>
    <t>Z10993O-Hf-4</t>
  </si>
  <si>
    <t>Z10993O-Hf-5</t>
  </si>
  <si>
    <t>Z10993O-Hf-6</t>
  </si>
  <si>
    <t>Z10993O-Hf-7</t>
  </si>
  <si>
    <t>Z10993O-Hf-8</t>
  </si>
  <si>
    <t>Z10993O-Hf-9</t>
  </si>
  <si>
    <t>Z10993O-Hf-10</t>
  </si>
  <si>
    <t>Z10993O-Hf-11</t>
  </si>
  <si>
    <t>Z10993O-Hf-12</t>
  </si>
  <si>
    <t>Z10993O-Hf-1</t>
  </si>
  <si>
    <t>FLV-04O-Hf-1</t>
  </si>
  <si>
    <t>FLV-04O-Hf-2</t>
  </si>
  <si>
    <t>FLV-04O-Hf-3</t>
  </si>
  <si>
    <t>FLV-04O-Hf-4</t>
  </si>
  <si>
    <t>FLV-04O-Hf-5</t>
  </si>
  <si>
    <t>FLV-04O-Hf-6</t>
  </si>
  <si>
    <t>FLV-04O-Hf-7</t>
  </si>
  <si>
    <t>FLV-04O-Hf-8</t>
  </si>
  <si>
    <t>FLV-04O-Hf-9</t>
  </si>
  <si>
    <t>FLV-04O-Hf-10</t>
  </si>
  <si>
    <t>FLV-04O-Hf-11</t>
  </si>
  <si>
    <t>FLV-04O-Hf-12</t>
  </si>
  <si>
    <t>FLV-04O-Hf-13</t>
  </si>
  <si>
    <t>FLV-04O-Hf-14</t>
  </si>
  <si>
    <t>FLV-04O-Hf-15</t>
  </si>
  <si>
    <t>FLV-04O-Hf-16</t>
  </si>
  <si>
    <t>FLV-04O-Hf-17</t>
  </si>
  <si>
    <t>FLV-04O-Hf-18</t>
  </si>
  <si>
    <t>FLV-04O-Hf-19</t>
  </si>
  <si>
    <t>FLV-04O-Hf-20</t>
  </si>
  <si>
    <t>FLV-22O-Hf-1</t>
  </si>
  <si>
    <t>FLV-22O-Hf-2</t>
  </si>
  <si>
    <t>FLV-22O-Hf-3</t>
  </si>
  <si>
    <t>FLV-22O-Hf-4</t>
  </si>
  <si>
    <t>FLV-22O-Hf-5</t>
  </si>
  <si>
    <t>FLV-22O-Hf-6</t>
  </si>
  <si>
    <t>FLV-22O-Hf-7</t>
  </si>
  <si>
    <t>FLV-22O-Hf-8</t>
  </si>
  <si>
    <t>FLV-22O-Hf-9</t>
  </si>
  <si>
    <t>FLV-22O-Hf-10</t>
  </si>
  <si>
    <t>FLV-22O-Hf-11</t>
  </si>
  <si>
    <t>FLV-22O-Hf-12</t>
  </si>
  <si>
    <t>FLV-22O-Hf-13</t>
  </si>
  <si>
    <t>FLV-22O-Hf-14</t>
  </si>
  <si>
    <t>FLV-22O-Hf-15</t>
  </si>
  <si>
    <t>FLV-22O-Hf-16</t>
  </si>
  <si>
    <t>FLV-22O-Hf-17</t>
  </si>
  <si>
    <t>FLV-22O-Hf-18</t>
  </si>
  <si>
    <t>FLV-22O-Hf-19</t>
  </si>
  <si>
    <t>FLV-22O-Hf-20</t>
  </si>
  <si>
    <t>FLV-22O-Hf-22</t>
  </si>
  <si>
    <t>FLV22O-Hf-21</t>
  </si>
  <si>
    <t>FLV-28O-Hf-1</t>
  </si>
  <si>
    <t>FLV-28O-Hf-2</t>
  </si>
  <si>
    <t>FLV-28O-Hf-3</t>
  </si>
  <si>
    <t>FLV-28O-Hf-4</t>
  </si>
  <si>
    <t>FLV-28O-Hf-5</t>
  </si>
  <si>
    <t>FLV-28O-Hf-6</t>
  </si>
  <si>
    <t>FLV-28O-Hf-7</t>
  </si>
  <si>
    <t>FLV-28O-Hf-8</t>
  </si>
  <si>
    <t>FLV-28O-Hf-9</t>
  </si>
  <si>
    <t>FLV-28O-Hf-10</t>
  </si>
  <si>
    <t>FLV-28O-Hf-11</t>
  </si>
  <si>
    <t>FLV-28O-Hf-12</t>
  </si>
  <si>
    <t>SJ-04O-Hf-1</t>
  </si>
  <si>
    <t>SJ-04O-Hf-2</t>
  </si>
  <si>
    <t>SJ-04O-Hf-3</t>
  </si>
  <si>
    <t>SJ-04O-Hf-4</t>
  </si>
  <si>
    <t>SJ-04O-Hf-6</t>
  </si>
  <si>
    <t>SJ-04O-Hf-7</t>
  </si>
  <si>
    <t>SJ-04O-Hf-8</t>
  </si>
  <si>
    <t>SJ-04O-Hf-9</t>
  </si>
  <si>
    <t>SJ-04O-Hf-5</t>
  </si>
  <si>
    <t>CS-20O-Hf-1</t>
  </si>
  <si>
    <t>CS-20O-Hf-2</t>
  </si>
  <si>
    <t>CS-20O-Hf-3</t>
  </si>
  <si>
    <t>CS-20O-Hf-4</t>
  </si>
  <si>
    <t>CS-20O-Hf-5</t>
  </si>
  <si>
    <t>CS-20O-Hf-6</t>
  </si>
  <si>
    <t>CS-20O-Hf-7</t>
  </si>
  <si>
    <t>CS-20O-Hf-8</t>
  </si>
  <si>
    <t>CS-20O-Hf-9</t>
  </si>
  <si>
    <t>CS-20O-Hf-10</t>
  </si>
  <si>
    <t>CS-20O-Hf-12</t>
  </si>
  <si>
    <t>CS-20O-Hf-15</t>
  </si>
  <si>
    <t>CS-20O-Hf-11</t>
  </si>
  <si>
    <t>CS-20O-Hf-13</t>
  </si>
  <si>
    <t>CS-20O-Hf-14</t>
  </si>
  <si>
    <t>CS-22O-Hf-1</t>
  </si>
  <si>
    <t>CS-22O-Hf-2</t>
  </si>
  <si>
    <t>CS-22O-Hf-3</t>
  </si>
  <si>
    <t>CS-22O-Hf-4</t>
  </si>
  <si>
    <t>CS-22O-Hf-5</t>
  </si>
  <si>
    <t>CS-22O-Hf-6</t>
  </si>
  <si>
    <t>CS-22O-Hf-7</t>
  </si>
  <si>
    <t>CS-22O-Hf-8</t>
  </si>
  <si>
    <t>CS-22O-Hf-9</t>
  </si>
  <si>
    <t>CS-22O-Hf-10</t>
  </si>
  <si>
    <t>CS-22O-Hf-11</t>
  </si>
  <si>
    <t>CS-22O-Hf-12</t>
  </si>
  <si>
    <t>CS-22O-Hf-13</t>
  </si>
  <si>
    <t>CS-22O-Hf-14</t>
  </si>
  <si>
    <t>CS-22O-Hf-15</t>
  </si>
  <si>
    <t>CS-22O-Hf-16</t>
  </si>
  <si>
    <t>Standard materials</t>
  </si>
  <si>
    <t>R33_1</t>
  </si>
  <si>
    <t>R33_2</t>
  </si>
  <si>
    <t>R33_3</t>
  </si>
  <si>
    <t>R33_4</t>
  </si>
  <si>
    <t>R33_5</t>
  </si>
  <si>
    <t>R33_6</t>
  </si>
  <si>
    <t>R33_7</t>
  </si>
  <si>
    <t>R33_8</t>
  </si>
  <si>
    <t>R33_9</t>
  </si>
  <si>
    <t>R33_10</t>
  </si>
  <si>
    <t>R33_11</t>
  </si>
  <si>
    <t>R33_12</t>
  </si>
  <si>
    <t>R33_13</t>
  </si>
  <si>
    <t>Avg</t>
  </si>
  <si>
    <t>2SD</t>
  </si>
  <si>
    <t>Ples_1</t>
  </si>
  <si>
    <t>Ples_2</t>
  </si>
  <si>
    <t>Ples_3</t>
  </si>
  <si>
    <t>Ples_4</t>
  </si>
  <si>
    <t>Ples_5</t>
  </si>
  <si>
    <t>Ples_6</t>
  </si>
  <si>
    <t>Ples_7</t>
  </si>
  <si>
    <t>Ples_8</t>
  </si>
  <si>
    <t>Ples_9</t>
  </si>
  <si>
    <t>Ples_10</t>
  </si>
  <si>
    <t>Ples_11</t>
  </si>
  <si>
    <t>Ples_12</t>
  </si>
  <si>
    <t>Ples_13</t>
  </si>
  <si>
    <t>Ples_14</t>
  </si>
  <si>
    <t>Ples_15</t>
  </si>
  <si>
    <t>Ples_16</t>
  </si>
  <si>
    <t>Ples_17</t>
  </si>
  <si>
    <t>Ples_18</t>
  </si>
  <si>
    <t>Ples_19</t>
  </si>
  <si>
    <t>Ples_20</t>
  </si>
  <si>
    <t>Ples_21</t>
  </si>
  <si>
    <t>Ples_22</t>
  </si>
  <si>
    <t>Ples_23</t>
  </si>
  <si>
    <t>Ples_24</t>
  </si>
  <si>
    <t>Ples_25</t>
  </si>
  <si>
    <t>Ples_26</t>
  </si>
  <si>
    <t>Ples_27</t>
  </si>
  <si>
    <t>Ples_28</t>
  </si>
  <si>
    <t>Ples_29</t>
  </si>
  <si>
    <t>Ples_30</t>
  </si>
  <si>
    <t>Ples_31</t>
  </si>
  <si>
    <t>Ples_32</t>
  </si>
  <si>
    <t>FC1_1</t>
  </si>
  <si>
    <t>FC1_2</t>
  </si>
  <si>
    <t>FC1_3</t>
  </si>
  <si>
    <t>FC1_4</t>
  </si>
  <si>
    <t>FC1_5</t>
  </si>
  <si>
    <t>FC1_6</t>
  </si>
  <si>
    <t>FC1_7</t>
  </si>
  <si>
    <t>FC1_8</t>
  </si>
  <si>
    <t>FC1_9</t>
  </si>
  <si>
    <t>FC1_10</t>
  </si>
  <si>
    <t>FC1_11</t>
  </si>
  <si>
    <t>FC1_12</t>
  </si>
  <si>
    <t>FC1_13</t>
  </si>
  <si>
    <t>MUN1_1</t>
  </si>
  <si>
    <t>MUN1_2</t>
  </si>
  <si>
    <t>MUN1_3</t>
  </si>
  <si>
    <t>MUN1_4</t>
  </si>
  <si>
    <t>MUN1_5</t>
  </si>
  <si>
    <t>MUN3_1</t>
  </si>
  <si>
    <t>MUN3_2</t>
  </si>
  <si>
    <t>MUN3_3</t>
  </si>
  <si>
    <t>MUN3_4</t>
  </si>
  <si>
    <t>MUN3_5</t>
  </si>
  <si>
    <t>Spots</t>
  </si>
  <si>
    <r>
      <t>18</t>
    </r>
    <r>
      <rPr>
        <b/>
        <sz val="10"/>
        <rFont val="Arial"/>
        <family val="2"/>
      </rPr>
      <t>O/</t>
    </r>
    <r>
      <rPr>
        <b/>
        <vertAlign val="superscript"/>
        <sz val="10"/>
        <rFont val="Arial"/>
        <family val="2"/>
      </rPr>
      <t>16</t>
    </r>
    <r>
      <rPr>
        <b/>
        <sz val="10"/>
        <rFont val="Arial"/>
        <family val="2"/>
      </rPr>
      <t>O</t>
    </r>
  </si>
  <si>
    <t>1σ (%) inter-session</t>
  </si>
  <si>
    <r>
      <t>δ</t>
    </r>
    <r>
      <rPr>
        <b/>
        <vertAlign val="superscript"/>
        <sz val="10"/>
        <rFont val="Arial"/>
        <family val="2"/>
      </rPr>
      <t>18</t>
    </r>
    <r>
      <rPr>
        <b/>
        <sz val="10"/>
        <rFont val="Arial"/>
        <family val="2"/>
      </rPr>
      <t>O (VSMOW)</t>
    </r>
  </si>
  <si>
    <t>2σ (‰)</t>
  </si>
  <si>
    <t>Delta OH (%)</t>
  </si>
  <si>
    <t>Th/U (LA-ICP-MS)</t>
  </si>
  <si>
    <t>Z10896O-01</t>
  </si>
  <si>
    <t>IP19029B</t>
  </si>
  <si>
    <t>Z10896O-02</t>
  </si>
  <si>
    <t>Z10896O-03</t>
  </si>
  <si>
    <t>Z10896O-04</t>
  </si>
  <si>
    <t>Z10896O-05</t>
  </si>
  <si>
    <t>Z10896O-06</t>
  </si>
  <si>
    <t>Z10896O-07</t>
  </si>
  <si>
    <t>Z10896O-08</t>
  </si>
  <si>
    <t>Z10896O-09</t>
  </si>
  <si>
    <t>Z10993O-01</t>
  </si>
  <si>
    <t>Z10993O-02</t>
  </si>
  <si>
    <t>Z10993O-03</t>
  </si>
  <si>
    <t>Z10993O-04</t>
  </si>
  <si>
    <t>Z10993O-05</t>
  </si>
  <si>
    <t>Z10993O-06</t>
  </si>
  <si>
    <t>Z10993O-07</t>
  </si>
  <si>
    <t>Z10993O-08</t>
  </si>
  <si>
    <t>Z10993O-09</t>
  </si>
  <si>
    <t>FLV-04O-01</t>
  </si>
  <si>
    <t>IP19029C</t>
  </si>
  <si>
    <t>FLV-04O-02</t>
  </si>
  <si>
    <t>FLV-04O-03</t>
  </si>
  <si>
    <t>FLV-04O-04</t>
  </si>
  <si>
    <t>FLV-04O-05</t>
  </si>
  <si>
    <t>FLV-04O-06</t>
  </si>
  <si>
    <t>FLV-04O-07</t>
  </si>
  <si>
    <t>FLV-04O-08</t>
  </si>
  <si>
    <t>FLV-04O-09</t>
  </si>
  <si>
    <t>FLV-22O-01</t>
  </si>
  <si>
    <t>FLV-22O-02</t>
  </si>
  <si>
    <t>FLV-22O-03</t>
  </si>
  <si>
    <t>FLV-22O-04</t>
  </si>
  <si>
    <t>FLV-22O-05</t>
  </si>
  <si>
    <t>FLV-22O-06</t>
  </si>
  <si>
    <t>FLV-22O-07</t>
  </si>
  <si>
    <t>FLV-22O-08</t>
  </si>
  <si>
    <t>FLV-22O-09</t>
  </si>
  <si>
    <t>FLV-28O-01</t>
  </si>
  <si>
    <t>FLV-28O-02</t>
  </si>
  <si>
    <t>FLV-28O-03</t>
  </si>
  <si>
    <t>FLV-28O-04</t>
  </si>
  <si>
    <t>FLV-28O-05</t>
  </si>
  <si>
    <t>FLV-28O-06</t>
  </si>
  <si>
    <t>FLV-28O-07</t>
  </si>
  <si>
    <t>FLV-28O-08</t>
  </si>
  <si>
    <t>FLV-28O-09</t>
  </si>
  <si>
    <t>SJ-04O-01</t>
  </si>
  <si>
    <t>SJ-04O-02</t>
  </si>
  <si>
    <t>SJ-04O-03</t>
  </si>
  <si>
    <t>SJ-04O-04</t>
  </si>
  <si>
    <t>SJ-04O-06</t>
  </si>
  <si>
    <t>SJ-04O-07</t>
  </si>
  <si>
    <t>SJ-04O-08</t>
  </si>
  <si>
    <t>SJ-04O-09</t>
  </si>
  <si>
    <t>SJ-04O-05</t>
  </si>
  <si>
    <t>CS-20O-01</t>
  </si>
  <si>
    <t>CS-20O-02</t>
  </si>
  <si>
    <t>CS-20O-03</t>
  </si>
  <si>
    <t>CS-20O-04</t>
  </si>
  <si>
    <t>CS-20O-05</t>
  </si>
  <si>
    <t>CS-20O-06</t>
  </si>
  <si>
    <t>CS-20O-07</t>
  </si>
  <si>
    <t>CS-20O-08</t>
  </si>
  <si>
    <t>CS-20O-09</t>
  </si>
  <si>
    <t>CS-22O-01</t>
  </si>
  <si>
    <t>CS-22O-02</t>
  </si>
  <si>
    <t>CS-22O-03</t>
  </si>
  <si>
    <t>CS-22O-04</t>
  </si>
  <si>
    <t>CS-22O-05</t>
  </si>
  <si>
    <t>CS-22O-06</t>
  </si>
  <si>
    <t>CS-22O-07</t>
  </si>
  <si>
    <t>CS-22O-08</t>
  </si>
  <si>
    <t>CS-22O-09</t>
  </si>
  <si>
    <t>IMF reference values</t>
  </si>
  <si>
    <r>
      <t>δ</t>
    </r>
    <r>
      <rPr>
        <b/>
        <vertAlign val="superscript"/>
        <sz val="10"/>
        <rFont val="Arial"/>
        <family val="2"/>
      </rPr>
      <t>18</t>
    </r>
    <r>
      <rPr>
        <b/>
        <sz val="10"/>
        <rFont val="Arial"/>
        <family val="2"/>
      </rPr>
      <t>O(SMOW)</t>
    </r>
  </si>
  <si>
    <t>spots on unkowns</t>
  </si>
  <si>
    <t>S0081_UAMT</t>
  </si>
  <si>
    <t>S0022 TEM2</t>
  </si>
  <si>
    <t>Spot Name</t>
  </si>
  <si>
    <r>
      <t>18</t>
    </r>
    <r>
      <rPr>
        <b/>
        <sz val="10"/>
        <color theme="1"/>
        <rFont val="Arial"/>
        <family val="2"/>
      </rPr>
      <t>O/</t>
    </r>
    <r>
      <rPr>
        <b/>
        <vertAlign val="superscript"/>
        <sz val="10"/>
        <rFont val="Arial"/>
        <family val="2"/>
      </rPr>
      <t>16</t>
    </r>
    <r>
      <rPr>
        <b/>
        <sz val="10"/>
        <color theme="1"/>
        <rFont val="Arial"/>
        <family val="2"/>
      </rPr>
      <t>O</t>
    </r>
  </si>
  <si>
    <r>
      <t>δ</t>
    </r>
    <r>
      <rPr>
        <b/>
        <vertAlign val="superscript"/>
        <sz val="10"/>
        <rFont val="Arial"/>
        <family val="2"/>
      </rPr>
      <t>18</t>
    </r>
    <r>
      <rPr>
        <b/>
        <sz val="10"/>
        <color theme="1"/>
        <rFont val="Arial"/>
        <family val="2"/>
      </rPr>
      <t>O (VSMOW)</t>
    </r>
  </si>
  <si>
    <t>test1_S0022@1</t>
  </si>
  <si>
    <t>test1_S0022@2</t>
  </si>
  <si>
    <t>test1_S0022@3</t>
  </si>
  <si>
    <t>test1_S0022@4</t>
  </si>
  <si>
    <t>test1_S0022@5</t>
  </si>
  <si>
    <t>test1_S0022@6</t>
  </si>
  <si>
    <t>test1_S0022@7</t>
  </si>
  <si>
    <t>test1_S0022@8</t>
  </si>
  <si>
    <t>S0022@11</t>
  </si>
  <si>
    <t>S0022@12</t>
  </si>
  <si>
    <t>S0022@13</t>
  </si>
  <si>
    <t>S0022@14</t>
  </si>
  <si>
    <t>S0022@15</t>
  </si>
  <si>
    <t>S0022@16</t>
  </si>
  <si>
    <t>S0022@17</t>
  </si>
  <si>
    <t>S0022@18</t>
  </si>
  <si>
    <t>S0022@19</t>
  </si>
  <si>
    <t>S0022@20</t>
  </si>
  <si>
    <t>S0022@21</t>
  </si>
  <si>
    <t>S0022@22</t>
  </si>
  <si>
    <t>S0022@23</t>
  </si>
  <si>
    <t>S0022@24</t>
  </si>
  <si>
    <t>S0022@25</t>
  </si>
  <si>
    <t>S0022@26</t>
  </si>
  <si>
    <t>S0022@27</t>
  </si>
  <si>
    <t>S0022@28</t>
  </si>
  <si>
    <t>S0022@29</t>
  </si>
  <si>
    <t>S0022@30</t>
  </si>
  <si>
    <t>S0022@31</t>
  </si>
  <si>
    <t>S0022@32</t>
  </si>
  <si>
    <t>S0022@33</t>
  </si>
  <si>
    <t>S0022@34</t>
  </si>
  <si>
    <t>S0022@35</t>
  </si>
  <si>
    <t>Sample Label</t>
  </si>
  <si>
    <t>Host mineral</t>
  </si>
  <si>
    <t>Notes</t>
  </si>
  <si>
    <t>Beam size</t>
  </si>
  <si>
    <t>Perpendicular to c-axis</t>
  </si>
  <si>
    <r>
      <t>FeO</t>
    </r>
    <r>
      <rPr>
        <b/>
        <vertAlign val="superscript"/>
        <sz val="10"/>
        <color theme="1"/>
        <rFont val="Arial"/>
        <family val="2"/>
      </rPr>
      <t>t</t>
    </r>
  </si>
  <si>
    <t>F</t>
  </si>
  <si>
    <t>Cl</t>
  </si>
  <si>
    <t>Cl (raw)</t>
  </si>
  <si>
    <r>
      <t>SO</t>
    </r>
    <r>
      <rPr>
        <b/>
        <vertAlign val="subscript"/>
        <sz val="10"/>
        <color theme="1"/>
        <rFont val="Arial"/>
        <family val="2"/>
      </rPr>
      <t>3</t>
    </r>
  </si>
  <si>
    <r>
      <t>SO</t>
    </r>
    <r>
      <rPr>
        <b/>
        <vertAlign val="subscript"/>
        <sz val="10"/>
        <color theme="1"/>
        <rFont val="Arial"/>
        <family val="2"/>
      </rPr>
      <t xml:space="preserve">3 </t>
    </r>
    <r>
      <rPr>
        <b/>
        <sz val="10"/>
        <color theme="1"/>
        <rFont val="Arial"/>
        <family val="2"/>
      </rPr>
      <t>(raw)</t>
    </r>
  </si>
  <si>
    <t>Smelt</t>
  </si>
  <si>
    <r>
      <t>ZrO</t>
    </r>
    <r>
      <rPr>
        <b/>
        <vertAlign val="subscript"/>
        <sz val="10"/>
        <color theme="1"/>
        <rFont val="Arial"/>
        <family val="2"/>
      </rPr>
      <t>2</t>
    </r>
  </si>
  <si>
    <t>F=O</t>
  </si>
  <si>
    <t>Cl=O</t>
  </si>
  <si>
    <t>XF</t>
  </si>
  <si>
    <t>XCl</t>
  </si>
  <si>
    <t>XOH</t>
  </si>
  <si>
    <r>
      <t>H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O</t>
    </r>
  </si>
  <si>
    <t>XF/XOH</t>
  </si>
  <si>
    <t>XF/XCL</t>
  </si>
  <si>
    <t>XCl/XOH</t>
  </si>
  <si>
    <t>CT01 1-36 (Line)  Pt 1</t>
  </si>
  <si>
    <t>Matrix</t>
  </si>
  <si>
    <t>5 µm</t>
  </si>
  <si>
    <t>Yes</t>
  </si>
  <si>
    <t>L.O.D.</t>
  </si>
  <si>
    <t>CT01 1-36 (Line)  Pt 2</t>
  </si>
  <si>
    <t>CT01 1-36 (Line)  Pt 3</t>
  </si>
  <si>
    <t>CT01 1-36 (Line)  Pt 4</t>
  </si>
  <si>
    <t>Oscillatory zoning</t>
  </si>
  <si>
    <t>CT01 1-36 (Line)  Pt 5</t>
  </si>
  <si>
    <t>CT01 1-36 (Line)  Pt 6</t>
  </si>
  <si>
    <t>CT01 1-36 (Line)  Pt 7</t>
  </si>
  <si>
    <t>CT01 1-36 (Line)  Pt 8</t>
  </si>
  <si>
    <t>CT01 1-36 (Line)  Pt 9</t>
  </si>
  <si>
    <t>CT01 1-36 (Line)  Pt 10</t>
  </si>
  <si>
    <t>Sector zoning</t>
  </si>
  <si>
    <t>CT01 1-36 (Line)  Pt 11</t>
  </si>
  <si>
    <t>CT01 1-36 (Line)  Pt 12</t>
  </si>
  <si>
    <t>CT01 1-36 (Line)  Pt 13</t>
  </si>
  <si>
    <t>CT01 1-36 (Line)  Pt 14</t>
  </si>
  <si>
    <t>CT01 1-36 (Line)  Pt 15</t>
  </si>
  <si>
    <t>CT01 1-36 (Line)  Pt 16</t>
  </si>
  <si>
    <t>CT01 1-36 (Line)  Pt 17</t>
  </si>
  <si>
    <t>CT01 1-36 (Line)  Pt 18</t>
  </si>
  <si>
    <t>CT01 1-36 (Line)  Pt 19</t>
  </si>
  <si>
    <t>CT01 1-36 (Line)  Pt 20</t>
  </si>
  <si>
    <t>CT01 1-36 (Line)  Pt 21</t>
  </si>
  <si>
    <t>CT01 1-36 (Line)  Pt 22</t>
  </si>
  <si>
    <t>Light CL reponse and no zoning</t>
  </si>
  <si>
    <t>CT01 1-36 (Line)  Pt 23</t>
  </si>
  <si>
    <t>CT01 1-36 (Line)  Pt 24</t>
  </si>
  <si>
    <t>CT01 1-36 (Line)  Pt 25</t>
  </si>
  <si>
    <t>CT01 1-36 (Line)  Pt 26</t>
  </si>
  <si>
    <t>CT01 1-36 (Line)  Pt 27</t>
  </si>
  <si>
    <t>CT01 1-36 (Line)  Pt 28</t>
  </si>
  <si>
    <t>CT01 1-36 (Line)  Pt 29</t>
  </si>
  <si>
    <t>CT01 1-36 (Line)  Pt 30</t>
  </si>
  <si>
    <t>CT01 1-36 (Line)  Pt 31</t>
  </si>
  <si>
    <t>CT01 1-36 (Line)  Pt 32</t>
  </si>
  <si>
    <t>CT01 1-36 (Line)  Pt 33</t>
  </si>
  <si>
    <t>CT01 1-36 (Line)  Pt 34</t>
  </si>
  <si>
    <t>CT01 1-36 (Line)  Pt 35</t>
  </si>
  <si>
    <t>CT01 1-36 (Line)  Pt 36</t>
  </si>
  <si>
    <t>CT01 41</t>
  </si>
  <si>
    <t>Dark CL response</t>
  </si>
  <si>
    <t>CT01 42</t>
  </si>
  <si>
    <t>CT01 43</t>
  </si>
  <si>
    <t>CT01 40</t>
  </si>
  <si>
    <t>CT01 1</t>
  </si>
  <si>
    <t>CT01 2</t>
  </si>
  <si>
    <t>CT01 3</t>
  </si>
  <si>
    <t>Zircon</t>
  </si>
  <si>
    <t>Wholly hosted</t>
  </si>
  <si>
    <t>2 µm</t>
  </si>
  <si>
    <t>B.D.L.</t>
  </si>
  <si>
    <t>n.d.</t>
  </si>
  <si>
    <t>Z10993-5-1</t>
  </si>
  <si>
    <t>Z10993-5-2</t>
  </si>
  <si>
    <t>Z10993-6-1</t>
  </si>
  <si>
    <t>Z10993-6-2</t>
  </si>
  <si>
    <t>No</t>
  </si>
  <si>
    <t>FLV-04-6-2</t>
  </si>
  <si>
    <t>FLV-04-2-1</t>
  </si>
  <si>
    <t>Cut by fracture on the margin</t>
  </si>
  <si>
    <t>FLV-04-2-2</t>
  </si>
  <si>
    <t>FLV-04-6-1</t>
  </si>
  <si>
    <t>Cut by fracture</t>
  </si>
  <si>
    <t>FLV-28-8-1</t>
  </si>
  <si>
    <t>FLV-28-8-2</t>
  </si>
  <si>
    <t>FLV-28-8-3</t>
  </si>
  <si>
    <t>FLV-28-9-1</t>
  </si>
  <si>
    <t>FLV-28-9-2</t>
  </si>
  <si>
    <t>Trondhjemite-III</t>
  </si>
  <si>
    <t>FLV-28-1-1</t>
  </si>
  <si>
    <t>FLV-28-1-2</t>
  </si>
  <si>
    <t>FLV-32-1</t>
  </si>
  <si>
    <t>Amp</t>
  </si>
  <si>
    <t>FLV-32-2</t>
  </si>
  <si>
    <t>FLV-32-3</t>
  </si>
  <si>
    <t>FLV-32-4</t>
  </si>
  <si>
    <t>FLV-32-5</t>
  </si>
  <si>
    <t>FLV-32-6</t>
  </si>
  <si>
    <t>FLV-32-7</t>
  </si>
  <si>
    <t>Chl/Ep</t>
  </si>
  <si>
    <t>Wholly-hosted</t>
  </si>
  <si>
    <t>Uncertain</t>
  </si>
  <si>
    <t>Open to quartz</t>
  </si>
  <si>
    <t>Enclosed</t>
  </si>
  <si>
    <t>Chl</t>
  </si>
  <si>
    <t>CS-20_01</t>
  </si>
  <si>
    <t>CS-20_02</t>
  </si>
  <si>
    <t>CS-20_03</t>
  </si>
  <si>
    <t>CS-20_04</t>
  </si>
  <si>
    <t>CS-20_08</t>
  </si>
  <si>
    <t>CS-20_05</t>
  </si>
  <si>
    <t>CS-20_06</t>
  </si>
  <si>
    <t>Amp-I</t>
  </si>
  <si>
    <t>Amp-II</t>
  </si>
  <si>
    <t>Analytical Conditions:</t>
  </si>
  <si>
    <t>Majors - 15V, 10nA, 2 and 5 micron rastered beam.</t>
  </si>
  <si>
    <t>Routine:</t>
  </si>
  <si>
    <t>WDS acquisition.</t>
  </si>
  <si>
    <t>Correction Procedure:</t>
  </si>
  <si>
    <t>PAP</t>
  </si>
  <si>
    <t>Mode</t>
  </si>
  <si>
    <t>WDS</t>
  </si>
  <si>
    <t>Signal</t>
  </si>
  <si>
    <t>P Ka</t>
  </si>
  <si>
    <t xml:space="preserve"> Si Ka</t>
  </si>
  <si>
    <t>Al Ka</t>
  </si>
  <si>
    <t>Mg Ka</t>
  </si>
  <si>
    <t>Ca Ka</t>
  </si>
  <si>
    <t>Mn Ka</t>
  </si>
  <si>
    <t xml:space="preserve"> Fe Ka</t>
  </si>
  <si>
    <t>Sr La</t>
  </si>
  <si>
    <t xml:space="preserve"> Na Ka</t>
  </si>
  <si>
    <t>K Ka</t>
  </si>
  <si>
    <t>S Ka</t>
  </si>
  <si>
    <t>F Ka</t>
  </si>
  <si>
    <t>Cl Ka</t>
  </si>
  <si>
    <t>Zr La</t>
  </si>
  <si>
    <t>XTAL</t>
  </si>
  <si>
    <t>LPET5</t>
  </si>
  <si>
    <t>LTAP2</t>
  </si>
  <si>
    <t>LiF4</t>
  </si>
  <si>
    <t>PET3</t>
  </si>
  <si>
    <t>LPET3</t>
  </si>
  <si>
    <t>PCO</t>
  </si>
  <si>
    <t>Counting time (s)</t>
  </si>
  <si>
    <t>L.O.D. (estimate)</t>
  </si>
  <si>
    <t>Mineral</t>
  </si>
  <si>
    <t>FeO</t>
  </si>
  <si>
    <t>ZnO</t>
  </si>
  <si>
    <r>
      <t>V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O</t>
    </r>
    <r>
      <rPr>
        <b/>
        <vertAlign val="subscript"/>
        <sz val="10"/>
        <color theme="1"/>
        <rFont val="Arial"/>
        <family val="2"/>
      </rPr>
      <t>3</t>
    </r>
  </si>
  <si>
    <t>NiO</t>
  </si>
  <si>
    <r>
      <t>Nb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O</t>
    </r>
    <r>
      <rPr>
        <b/>
        <vertAlign val="subscript"/>
        <sz val="10"/>
        <color theme="1"/>
        <rFont val="Arial"/>
        <family val="2"/>
      </rPr>
      <t>5</t>
    </r>
  </si>
  <si>
    <t>TOTAL</t>
  </si>
  <si>
    <t>CS-03-01-IL</t>
  </si>
  <si>
    <t>Ilmenite</t>
  </si>
  <si>
    <t>CS-03-02-IL</t>
  </si>
  <si>
    <t>CS-03-03-IL</t>
  </si>
  <si>
    <t>CS-03-04-IL</t>
  </si>
  <si>
    <t>Minimum</t>
  </si>
  <si>
    <t>Maximum</t>
  </si>
  <si>
    <t>CS-03-01-Mt</t>
  </si>
  <si>
    <t>Magnetite</t>
  </si>
  <si>
    <t>CS-03-02-Mt</t>
  </si>
  <si>
    <t>CS-03-03-Mt</t>
  </si>
  <si>
    <t>CS-03-04-Mt</t>
  </si>
  <si>
    <t>CS-07-01_IL</t>
  </si>
  <si>
    <t>CS-07-02_IL</t>
  </si>
  <si>
    <t>CS-07-03_IL</t>
  </si>
  <si>
    <t>CS-07-04_IL</t>
  </si>
  <si>
    <t>CS-07-01_Mt</t>
  </si>
  <si>
    <t>CS-07-02_Mt</t>
  </si>
  <si>
    <t>CS-07-03_Mt</t>
  </si>
  <si>
    <t>CS-07-04_Mt</t>
  </si>
  <si>
    <t>15 kV &amp; 20 nA. Focused beam.</t>
  </si>
  <si>
    <t>WDS acquisition</t>
  </si>
  <si>
    <t>Element/Line</t>
  </si>
  <si>
    <t>Ca ka</t>
  </si>
  <si>
    <t>Nb la</t>
  </si>
  <si>
    <t>Zn la</t>
  </si>
  <si>
    <t>Mg ka</t>
  </si>
  <si>
    <t>Fe ka</t>
  </si>
  <si>
    <t>Mn ka</t>
  </si>
  <si>
    <t>Ni ka</t>
  </si>
  <si>
    <t>Ti ka</t>
  </si>
  <si>
    <t>Cr ka</t>
  </si>
  <si>
    <t>V ka</t>
  </si>
  <si>
    <t>Si ka</t>
  </si>
  <si>
    <t>Al ka</t>
  </si>
  <si>
    <t>Crystal</t>
  </si>
  <si>
    <t>PETJ</t>
  </si>
  <si>
    <t>TAP</t>
  </si>
  <si>
    <t>LIF</t>
  </si>
  <si>
    <t>LIFL</t>
  </si>
  <si>
    <t>OnPeak Time (s)</t>
  </si>
  <si>
    <t>OffPeak Time (s)</t>
  </si>
  <si>
    <t>Detection limits (wt. %)</t>
  </si>
  <si>
    <t>Standard</t>
  </si>
  <si>
    <t>Diopside #1</t>
  </si>
  <si>
    <t>Manganocolumbite</t>
  </si>
  <si>
    <t>Gahnite</t>
  </si>
  <si>
    <t>Chromite</t>
  </si>
  <si>
    <t>Hematite</t>
  </si>
  <si>
    <t>Pentlandite</t>
  </si>
  <si>
    <t>Rutile</t>
  </si>
  <si>
    <t>Vana2</t>
  </si>
  <si>
    <t>Mass % Oxide</t>
  </si>
  <si>
    <t>Mass %</t>
  </si>
  <si>
    <t>StdDev Mass %</t>
  </si>
  <si>
    <t xml:space="preserve">F </t>
  </si>
  <si>
    <r>
      <t>SO</t>
    </r>
    <r>
      <rPr>
        <b/>
        <vertAlign val="subscript"/>
        <sz val="10"/>
        <color theme="1"/>
        <rFont val="Arial"/>
        <family val="2"/>
      </rPr>
      <t>2</t>
    </r>
  </si>
  <si>
    <t>T (°C)</t>
  </si>
  <si>
    <r>
      <t>σ</t>
    </r>
    <r>
      <rPr>
        <b/>
        <vertAlign val="subscript"/>
        <sz val="10"/>
        <rFont val="Arial"/>
        <family val="2"/>
      </rPr>
      <t>est</t>
    </r>
  </si>
  <si>
    <t>∆NNO</t>
  </si>
  <si>
    <t>∆FMQ</t>
  </si>
  <si>
    <r>
      <t>log</t>
    </r>
    <r>
      <rPr>
        <b/>
        <i/>
        <sz val="10"/>
        <rFont val="Arial"/>
        <family val="2"/>
      </rPr>
      <t>f</t>
    </r>
    <r>
      <rPr>
        <b/>
        <sz val="10"/>
        <rFont val="Arial"/>
        <family val="2"/>
      </rPr>
      <t>O</t>
    </r>
    <r>
      <rPr>
        <b/>
        <vertAlign val="subscript"/>
        <sz val="10"/>
        <rFont val="Arial"/>
        <family val="2"/>
      </rPr>
      <t>2</t>
    </r>
  </si>
  <si>
    <t>Al (total)</t>
  </si>
  <si>
    <t>Pressure</t>
  </si>
  <si>
    <t>σ</t>
  </si>
  <si>
    <r>
      <t>Ca</t>
    </r>
    <r>
      <rPr>
        <b/>
        <vertAlign val="subscript"/>
        <sz val="10"/>
        <rFont val="Arial"/>
        <family val="2"/>
      </rPr>
      <t>B</t>
    </r>
    <r>
      <rPr>
        <b/>
        <sz val="10"/>
        <color theme="1"/>
        <rFont val="Arial"/>
        <family val="2"/>
      </rPr>
      <t>&gt;1.5(?)</t>
    </r>
  </si>
  <si>
    <r>
      <t>(Na+K)</t>
    </r>
    <r>
      <rPr>
        <b/>
        <vertAlign val="subscript"/>
        <sz val="10"/>
        <rFont val="Arial"/>
        <family val="2"/>
      </rPr>
      <t>A</t>
    </r>
    <r>
      <rPr>
        <b/>
        <sz val="10"/>
        <color theme="1"/>
        <rFont val="Arial"/>
        <family val="2"/>
      </rPr>
      <t>&gt;0.5(?)</t>
    </r>
  </si>
  <si>
    <t>Si pfu</t>
  </si>
  <si>
    <r>
      <t>Mg/(Mg+Fe</t>
    </r>
    <r>
      <rPr>
        <b/>
        <vertAlign val="superscript"/>
        <sz val="10"/>
        <rFont val="Arial"/>
        <family val="2"/>
      </rPr>
      <t>2+</t>
    </r>
    <r>
      <rPr>
        <b/>
        <sz val="10"/>
        <color theme="1"/>
        <rFont val="Arial"/>
        <family val="2"/>
      </rPr>
      <t>)</t>
    </r>
  </si>
  <si>
    <r>
      <t>Al</t>
    </r>
    <r>
      <rPr>
        <b/>
        <vertAlign val="superscript"/>
        <sz val="10"/>
        <rFont val="Arial"/>
        <family val="2"/>
      </rPr>
      <t>(VI)</t>
    </r>
    <r>
      <rPr>
        <b/>
        <sz val="10"/>
        <color theme="1"/>
        <rFont val="Arial"/>
        <family val="2"/>
      </rPr>
      <t>&gt;Fe</t>
    </r>
    <r>
      <rPr>
        <b/>
        <vertAlign val="superscript"/>
        <sz val="10"/>
        <rFont val="Arial"/>
        <family val="2"/>
      </rPr>
      <t>3+</t>
    </r>
  </si>
  <si>
    <r>
      <t>Fe</t>
    </r>
    <r>
      <rPr>
        <b/>
        <vertAlign val="superscript"/>
        <sz val="10"/>
        <color theme="1"/>
        <rFont val="Arial"/>
        <family val="2"/>
      </rPr>
      <t>3+</t>
    </r>
    <r>
      <rPr>
        <b/>
        <sz val="10"/>
        <color theme="1"/>
        <rFont val="Arial"/>
        <family val="2"/>
      </rPr>
      <t>/ΣFe</t>
    </r>
  </si>
  <si>
    <t>Na</t>
  </si>
  <si>
    <t>Mg</t>
  </si>
  <si>
    <t>Al</t>
  </si>
  <si>
    <t>Si</t>
  </si>
  <si>
    <t xml:space="preserve">K </t>
  </si>
  <si>
    <t>Ca</t>
  </si>
  <si>
    <t>Mn</t>
  </si>
  <si>
    <t>Fe</t>
  </si>
  <si>
    <t xml:space="preserve">S </t>
  </si>
  <si>
    <t xml:space="preserve">O </t>
  </si>
  <si>
    <t>CS-22-core-am-01</t>
  </si>
  <si>
    <t>YES</t>
  </si>
  <si>
    <t>NO</t>
  </si>
  <si>
    <t>CS-22-core-am-02</t>
  </si>
  <si>
    <t>CS-22-core-am-03</t>
  </si>
  <si>
    <t>CS-22-core-am-04</t>
  </si>
  <si>
    <t>CS-22-core-am-05</t>
  </si>
  <si>
    <t>CS-22-core-am-06</t>
  </si>
  <si>
    <t>CS-22-core-am-07</t>
  </si>
  <si>
    <t>CS-22-core-am-08</t>
  </si>
  <si>
    <t>CS-22-core-am-09</t>
  </si>
  <si>
    <t>CS-22-core-am-10</t>
  </si>
  <si>
    <t>CS-22-rim-am-01</t>
  </si>
  <si>
    <t>CS-22-rim-am-02</t>
  </si>
  <si>
    <t>CS-22-rim-am-03</t>
  </si>
  <si>
    <t>CS-22-rim-am-04</t>
  </si>
  <si>
    <t>CS-22-rim-am-05</t>
  </si>
  <si>
    <t>CS-22-rim-am-06</t>
  </si>
  <si>
    <t>CS-22-rim-am-07</t>
  </si>
  <si>
    <t>CS-22-rim-am-08</t>
  </si>
  <si>
    <t>CS-22-rim-am-09</t>
  </si>
  <si>
    <t>CS-22-rim-am-10</t>
  </si>
  <si>
    <t>CS-22-rim-am-11</t>
  </si>
  <si>
    <t>CS-22-rim-am-12</t>
  </si>
  <si>
    <t>CS-07-03-am1</t>
  </si>
  <si>
    <t>CS-07-03-am2</t>
  </si>
  <si>
    <t>CS-07-03-am3</t>
  </si>
  <si>
    <t>CS-07-03-am4</t>
  </si>
  <si>
    <t>CS-07-03-am5</t>
  </si>
  <si>
    <t>CS-07-03-am6</t>
  </si>
  <si>
    <t>CS-07-03-am7</t>
  </si>
  <si>
    <t>CS-07-03-am8</t>
  </si>
  <si>
    <t>CS-07-03-am9</t>
  </si>
  <si>
    <t>CS-07-03-am10</t>
  </si>
  <si>
    <t>CS-07-03-am11</t>
  </si>
  <si>
    <t>CS-07-03-am12</t>
  </si>
  <si>
    <t>CS-07-01-am01</t>
  </si>
  <si>
    <t>CS-07-01-am02</t>
  </si>
  <si>
    <t>CS-07-01-am03</t>
  </si>
  <si>
    <t>CS-07-01-am04</t>
  </si>
  <si>
    <t>CS-07-01-am05</t>
  </si>
  <si>
    <t>CS-07-01-am06</t>
  </si>
  <si>
    <t>CS-07-01-am07</t>
  </si>
  <si>
    <t>CS-07-01-am08</t>
  </si>
  <si>
    <t>CS-07-01-am09</t>
  </si>
  <si>
    <t>CS-07-01-am10</t>
  </si>
  <si>
    <t>FLV-04_amph_1_1</t>
  </si>
  <si>
    <t>FLV-04_amph_1_2</t>
  </si>
  <si>
    <t>FLV-04_amph_1_3</t>
  </si>
  <si>
    <t>FLV-04_amph_1_4</t>
  </si>
  <si>
    <t>FLV-04_amph_1_5</t>
  </si>
  <si>
    <t>FLV-04_amph_2_1</t>
  </si>
  <si>
    <t>FLV-04_amph_2_2</t>
  </si>
  <si>
    <t>FLV-04_amph_2_3</t>
  </si>
  <si>
    <t>FLV-04_amph_2_4</t>
  </si>
  <si>
    <t>FLV-04_amph_2_5</t>
  </si>
  <si>
    <t>Data from literature (Katz, 2017)</t>
  </si>
  <si>
    <t>QDR1-3</t>
  </si>
  <si>
    <t>QDR2-2</t>
  </si>
  <si>
    <t>QDR3-1</t>
  </si>
  <si>
    <t>Av.</t>
  </si>
  <si>
    <r>
      <t xml:space="preserve">Katz, L. R., Kontak, D. J., Dubé, B. &amp; McNicoll, V. (2017). The geology, petrology, and geochronology of the Archean Côté Gold large-tonnage, low-grade intrusion-related Au(–Cu) deposit, Swayze greenstone belt, Ontario, Canada. </t>
    </r>
    <r>
      <rPr>
        <i/>
        <sz val="10"/>
        <color rgb="FF000000"/>
        <rFont val="Helvetica"/>
        <family val="2"/>
      </rPr>
      <t xml:space="preserve">Canadian Journal of Earth Sciences </t>
    </r>
    <r>
      <rPr>
        <b/>
        <sz val="10"/>
        <color rgb="FF000000"/>
        <rFont val="Helvetica"/>
        <family val="2"/>
      </rPr>
      <t>54</t>
    </r>
    <r>
      <rPr>
        <sz val="10"/>
        <color rgb="FF000000"/>
        <rFont val="Helvetica"/>
        <family val="2"/>
      </rPr>
      <t>, 173–202.</t>
    </r>
  </si>
  <si>
    <t>15 kV &amp; 10 nA. 5 μm spot size</t>
  </si>
  <si>
    <t>Si Kα</t>
  </si>
  <si>
    <t>Ti Kα</t>
  </si>
  <si>
    <t>S Kα</t>
  </si>
  <si>
    <t>Al Kα</t>
  </si>
  <si>
    <t>Fe Kα</t>
  </si>
  <si>
    <t>Mg Kα</t>
  </si>
  <si>
    <t>Ca Kα</t>
  </si>
  <si>
    <t>Cr Kα</t>
  </si>
  <si>
    <t>Mn Kα</t>
  </si>
  <si>
    <t>K Kα</t>
  </si>
  <si>
    <t>Na Kα</t>
  </si>
  <si>
    <t>Cl Kα</t>
  </si>
  <si>
    <t>F Kα</t>
  </si>
  <si>
    <t>Crystal-Spectrometer</t>
  </si>
  <si>
    <t>TAP-4</t>
  </si>
  <si>
    <t>LPET-3</t>
  </si>
  <si>
    <t>LPET-2</t>
  </si>
  <si>
    <t>LLIF-5</t>
  </si>
  <si>
    <t>PC1-1</t>
  </si>
  <si>
    <t>Orthoclase</t>
  </si>
  <si>
    <t>Celestite</t>
  </si>
  <si>
    <t>Fe2O3</t>
  </si>
  <si>
    <t>Periclase</t>
  </si>
  <si>
    <t>Wollastonite</t>
  </si>
  <si>
    <t>Cr2O3</t>
  </si>
  <si>
    <t>Rhodonite</t>
  </si>
  <si>
    <t>Jade</t>
  </si>
  <si>
    <t>RbCl</t>
  </si>
  <si>
    <t>Fluorite</t>
  </si>
  <si>
    <t>Counting Time (s)</t>
  </si>
  <si>
    <t>L.O.D. (wt. %)</t>
  </si>
  <si>
    <t>Appendix Table A5.1. Lithogeochemistry for the main lithologies from the Côté Gold, Flavrian-St-Jude, and Clifford areas</t>
  </si>
  <si>
    <t>Appendix Table A5.2 Split-Stream LA-ICP-MS zircon U-Pb isotope and trace element analyses for representative igneous rocks from Côté Gold, Flavrian-St-Jude, and Clifford in the southern Abitibi subprovince</t>
  </si>
  <si>
    <t>Table A5.3 LA-ICP-MS zircon Lu-Hf isotope analyses for representative igneous rocks from Côté Gold, Flavrian-St-Jude, and Clifford in the southern Abitibi subprovince</t>
  </si>
  <si>
    <t>Appendix Table A5.4 SIMS zircon O isotope analyses for representative igneous rocks from Côté Gold, Flavrian-St-Jude, and Clifford in the southern Abitibi subprovince</t>
  </si>
  <si>
    <t>Appendix Table A5.5 Electron microprobe analyses for representative apatite, amphibole, and magnetite-ilmenite from the Côté Gold, Flavrian-St-Jude, and Clifford areas in the southern Abitibi subprovince.</t>
  </si>
  <si>
    <t>Note: O isotope data with grey color and strikethrough are with Delta OH &gt; 40% indicating hyrothermal alteration and have been excluded for further interpretation.</t>
  </si>
  <si>
    <t>Note: Isotopic data with grey color and strikethrough represent highly discordant analyses and have been excluded for concordia age calculation.</t>
  </si>
  <si>
    <t>Note:  Hf isotope data with grey color and strikethrough are for analyses with O isotope data indicating hyrothermal alteration and have been excluded for further interpretation.</t>
  </si>
  <si>
    <t>Color: Compositional data with grey color represents analyses for altered apatite grains.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</si>
</sst>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"/>
    <numFmt numFmtId="165" formatCode="0.000"/>
    <numFmt numFmtId="166" formatCode="_(* #,##0.0_);_(* \(#,##0.0\);_(* &quot;-&quot;??_);_(@_)"/>
    <numFmt numFmtId="167" formatCode="0.00000"/>
    <numFmt numFmtId="168" formatCode="0.0000"/>
    <numFmt numFmtId="169" formatCode="0.000E+00"/>
    <numFmt numFmtId="170" formatCode="0.000000"/>
    <numFmt numFmtId="171" formatCode="0.00000000"/>
    <numFmt numFmtId="172" formatCode="0.000_);[Red]\(0.000\)"/>
  </numFmts>
  <fonts count="5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Helvetica"/>
      <family val="2"/>
    </font>
    <font>
      <b/>
      <vertAlign val="sub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rgb="FF1201FF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1201FF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Helvetica"/>
      <family val="2"/>
    </font>
    <font>
      <i/>
      <sz val="10"/>
      <color rgb="FF000000"/>
      <name val="Helvetica"/>
      <family val="2"/>
    </font>
    <font>
      <b/>
      <sz val="10"/>
      <color rgb="FF000000"/>
      <name val="Helvetica"/>
      <family val="2"/>
    </font>
    <font>
      <sz val="10"/>
      <color theme="1" tint="0.34998626667073579"/>
      <name val="Arial"/>
      <family val="2"/>
    </font>
    <font>
      <b/>
      <sz val="10"/>
      <color theme="1"/>
      <name val="Helvetica"/>
      <family val="2"/>
    </font>
    <font>
      <b/>
      <sz val="11"/>
      <color theme="1"/>
      <name val="Calibri"/>
      <family val="2"/>
      <scheme val="minor"/>
    </font>
    <font>
      <sz val="10"/>
      <color rgb="FF0432FF"/>
      <name val="Arial"/>
      <family val="2"/>
    </font>
    <font>
      <sz val="10"/>
      <color rgb="FF585958"/>
      <name val="Arial"/>
      <family val="2"/>
    </font>
    <font>
      <sz val="12"/>
      <color rgb="FF3F3F7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1"/>
      <name val="Arial"/>
      <family val="2"/>
    </font>
    <font>
      <b/>
      <sz val="10"/>
      <color rgb="FF0000FF"/>
      <name val="Arial"/>
      <family val="2"/>
    </font>
    <font>
      <strike/>
      <sz val="10"/>
      <color theme="1" tint="0.499984740745262"/>
      <name val="Arial"/>
      <family val="2"/>
    </font>
    <font>
      <strike/>
      <sz val="10"/>
      <color theme="2" tint="-0.499984740745262"/>
      <name val="Arial"/>
      <family val="2"/>
    </font>
    <font>
      <sz val="10"/>
      <color rgb="FFFF0000"/>
      <name val="Arial"/>
      <family val="2"/>
    </font>
    <font>
      <strike/>
      <sz val="10"/>
      <name val="Arial"/>
      <family val="2"/>
    </font>
    <font>
      <sz val="12"/>
      <color theme="1"/>
      <name val="Arial"/>
      <family val="2"/>
    </font>
    <font>
      <sz val="10"/>
      <color theme="1" tint="0.499984740745262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b/>
      <vertAlign val="superscript"/>
      <sz val="10"/>
      <name val="Arial"/>
      <family val="2"/>
    </font>
    <font>
      <b/>
      <strike/>
      <sz val="10"/>
      <color theme="1" tint="0.499984740745262"/>
      <name val="Arial"/>
      <family val="2"/>
    </font>
    <font>
      <vertAlign val="superscript"/>
      <sz val="10"/>
      <name val="Arial"/>
      <family val="2"/>
    </font>
    <font>
      <b/>
      <sz val="9"/>
      <color rgb="FF000000"/>
      <name val="Tahoma"/>
      <family val="2"/>
    </font>
    <font>
      <sz val="12"/>
      <name val="宋体"/>
      <charset val="13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vertAlign val="subscript"/>
      <sz val="10"/>
      <name val="Arial"/>
      <family val="2"/>
    </font>
    <font>
      <b/>
      <i/>
      <sz val="10"/>
      <name val="Arial"/>
      <family val="2"/>
    </font>
    <font>
      <b/>
      <sz val="10"/>
      <color rgb="FF1300FF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trike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0" fontId="1" fillId="0" borderId="0"/>
    <xf numFmtId="0" fontId="23" fillId="3" borderId="2" applyNumberFormat="0" applyAlignment="0" applyProtection="0"/>
    <xf numFmtId="0" fontId="24" fillId="4" borderId="2" applyNumberFormat="0" applyAlignment="0" applyProtection="0"/>
    <xf numFmtId="0" fontId="33" fillId="0" borderId="0" applyNumberFormat="0" applyFill="0" applyBorder="0" applyAlignment="0" applyProtection="0"/>
    <xf numFmtId="0" fontId="12" fillId="0" borderId="0"/>
    <xf numFmtId="0" fontId="40" fillId="0" borderId="0"/>
  </cellStyleXfs>
  <cellXfs count="335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/>
    </xf>
    <xf numFmtId="2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right"/>
    </xf>
    <xf numFmtId="1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2" fontId="6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 applyFill="1" applyAlignment="1">
      <alignment horizontal="left"/>
    </xf>
    <xf numFmtId="164" fontId="2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left"/>
    </xf>
    <xf numFmtId="1" fontId="6" fillId="0" borderId="0" xfId="0" applyNumberFormat="1" applyFont="1" applyAlignment="1">
      <alignment horizontal="left" indent="6"/>
    </xf>
    <xf numFmtId="164" fontId="6" fillId="0" borderId="0" xfId="0" applyNumberFormat="1" applyFont="1" applyAlignment="1">
      <alignment horizontal="left" indent="6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0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164" fontId="1" fillId="0" borderId="0" xfId="2" applyNumberFormat="1" applyFont="1" applyAlignment="1">
      <alignment horizontal="right" wrapText="1"/>
    </xf>
    <xf numFmtId="164" fontId="6" fillId="0" borderId="0" xfId="0" applyNumberFormat="1" applyFont="1"/>
    <xf numFmtId="1" fontId="6" fillId="0" borderId="0" xfId="0" applyNumberFormat="1" applyFont="1"/>
    <xf numFmtId="1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/>
    <xf numFmtId="2" fontId="6" fillId="0" borderId="0" xfId="0" applyNumberFormat="1" applyFont="1" applyAlignment="1"/>
    <xf numFmtId="1" fontId="10" fillId="0" borderId="0" xfId="0" applyNumberFormat="1" applyFont="1" applyFill="1" applyBorder="1" applyAlignment="1" applyProtection="1">
      <alignment horizontal="right"/>
    </xf>
    <xf numFmtId="1" fontId="1" fillId="0" borderId="0" xfId="0" applyNumberFormat="1" applyFont="1" applyFill="1" applyBorder="1" applyAlignment="1" applyProtection="1">
      <alignment horizontal="right"/>
    </xf>
    <xf numFmtId="1" fontId="10" fillId="0" borderId="0" xfId="0" applyNumberFormat="1" applyFont="1" applyAlignment="1">
      <alignment horizontal="right"/>
    </xf>
    <xf numFmtId="1" fontId="6" fillId="0" borderId="0" xfId="0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0" fontId="2" fillId="0" borderId="0" xfId="0" applyFont="1" applyFill="1" applyAlignment="1"/>
    <xf numFmtId="0" fontId="3" fillId="0" borderId="0" xfId="0" applyFont="1"/>
    <xf numFmtId="164" fontId="3" fillId="0" borderId="0" xfId="0" applyNumberFormat="1" applyFont="1"/>
    <xf numFmtId="1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" fontId="13" fillId="0" borderId="0" xfId="0" applyNumberFormat="1" applyFont="1" applyFill="1" applyBorder="1" applyAlignment="1" applyProtection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/>
    <xf numFmtId="0" fontId="14" fillId="0" borderId="0" xfId="0" applyFont="1" applyAlignment="1">
      <alignment horizontal="left"/>
    </xf>
    <xf numFmtId="1" fontId="18" fillId="0" borderId="0" xfId="0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1" fontId="18" fillId="0" borderId="0" xfId="0" applyNumberFormat="1" applyFont="1" applyFill="1" applyBorder="1" applyAlignment="1" applyProtection="1">
      <alignment horizontal="right"/>
    </xf>
    <xf numFmtId="0" fontId="19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20" fillId="0" borderId="0" xfId="0" applyFont="1"/>
    <xf numFmtId="164" fontId="20" fillId="0" borderId="0" xfId="0" applyNumberFormat="1" applyFont="1"/>
    <xf numFmtId="2" fontId="4" fillId="0" borderId="0" xfId="0" applyNumberFormat="1" applyFont="1" applyAlignment="1"/>
    <xf numFmtId="1" fontId="6" fillId="2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166" fontId="4" fillId="0" borderId="0" xfId="1" applyNumberFormat="1" applyFont="1" applyAlignment="1">
      <alignment horizontal="right"/>
    </xf>
    <xf numFmtId="166" fontId="6" fillId="0" borderId="0" xfId="1" applyNumberFormat="1" applyFont="1" applyAlignment="1">
      <alignment horizontal="right"/>
    </xf>
    <xf numFmtId="1" fontId="21" fillId="0" borderId="0" xfId="0" applyNumberFormat="1" applyFont="1" applyFill="1" applyBorder="1" applyAlignment="1" applyProtection="1">
      <alignment horizontal="right"/>
    </xf>
    <xf numFmtId="2" fontId="22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/>
    </xf>
    <xf numFmtId="0" fontId="4" fillId="0" borderId="0" xfId="0" applyFont="1" applyFill="1" applyAlignment="1">
      <alignment horizontal="left"/>
    </xf>
    <xf numFmtId="2" fontId="6" fillId="0" borderId="0" xfId="0" applyNumberFormat="1" applyFont="1" applyFill="1" applyAlignment="1"/>
    <xf numFmtId="165" fontId="6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/>
    </xf>
    <xf numFmtId="2" fontId="4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20" fillId="0" borderId="0" xfId="0" applyFont="1" applyFill="1"/>
    <xf numFmtId="0" fontId="7" fillId="0" borderId="0" xfId="0" applyFont="1" applyFill="1" applyAlignment="1">
      <alignment horizontal="right"/>
    </xf>
    <xf numFmtId="0" fontId="0" fillId="0" borderId="0" xfId="0" applyFill="1"/>
    <xf numFmtId="0" fontId="6" fillId="0" borderId="0" xfId="0" applyFont="1" applyFill="1" applyAlignment="1"/>
    <xf numFmtId="2" fontId="1" fillId="0" borderId="0" xfId="0" applyNumberFormat="1" applyFont="1" applyFill="1" applyBorder="1" applyAlignment="1" applyProtection="1">
      <alignment horizontal="right"/>
    </xf>
    <xf numFmtId="165" fontId="6" fillId="0" borderId="0" xfId="0" applyNumberFormat="1" applyFont="1" applyAlignment="1"/>
    <xf numFmtId="0" fontId="11" fillId="0" borderId="0" xfId="0" applyFont="1"/>
    <xf numFmtId="0" fontId="25" fillId="0" borderId="0" xfId="0" applyFont="1"/>
    <xf numFmtId="0" fontId="5" fillId="0" borderId="0" xfId="0" applyFont="1"/>
    <xf numFmtId="0" fontId="2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164" fontId="26" fillId="0" borderId="0" xfId="0" applyNumberFormat="1" applyFont="1" applyAlignment="1">
      <alignment horizontal="center"/>
    </xf>
    <xf numFmtId="167" fontId="26" fillId="0" borderId="0" xfId="0" applyNumberFormat="1" applyFont="1" applyAlignment="1">
      <alignment horizontal="center"/>
    </xf>
    <xf numFmtId="165" fontId="26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center"/>
    </xf>
    <xf numFmtId="168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1" fontId="26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left"/>
    </xf>
    <xf numFmtId="2" fontId="26" fillId="0" borderId="0" xfId="0" applyNumberFormat="1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164" fontId="27" fillId="0" borderId="0" xfId="0" applyNumberFormat="1" applyFont="1" applyAlignment="1">
      <alignment horizontal="center"/>
    </xf>
    <xf numFmtId="167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8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left"/>
    </xf>
    <xf numFmtId="11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left" vertical="center"/>
    </xf>
    <xf numFmtId="164" fontId="28" fillId="0" borderId="0" xfId="0" applyNumberFormat="1" applyFont="1" applyAlignment="1">
      <alignment horizontal="center"/>
    </xf>
    <xf numFmtId="167" fontId="28" fillId="0" borderId="0" xfId="0" applyNumberFormat="1" applyFont="1" applyAlignment="1">
      <alignment horizontal="center"/>
    </xf>
    <xf numFmtId="165" fontId="28" fillId="0" borderId="0" xfId="0" applyNumberFormat="1" applyFont="1" applyAlignment="1">
      <alignment horizontal="center"/>
    </xf>
    <xf numFmtId="2" fontId="28" fillId="0" borderId="0" xfId="0" applyNumberFormat="1" applyFont="1" applyAlignment="1">
      <alignment horizontal="center"/>
    </xf>
    <xf numFmtId="168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1" fontId="28" fillId="0" borderId="0" xfId="0" applyNumberFormat="1" applyFont="1" applyAlignment="1">
      <alignment horizontal="center"/>
    </xf>
    <xf numFmtId="1" fontId="28" fillId="0" borderId="0" xfId="0" applyNumberFormat="1" applyFont="1" applyAlignment="1">
      <alignment horizontal="left"/>
    </xf>
    <xf numFmtId="0" fontId="29" fillId="0" borderId="0" xfId="0" applyFont="1" applyAlignment="1">
      <alignment horizontal="left"/>
    </xf>
    <xf numFmtId="165" fontId="29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11" fontId="6" fillId="0" borderId="0" xfId="0" applyNumberFormat="1" applyFont="1" applyAlignment="1">
      <alignment horizontal="center"/>
    </xf>
    <xf numFmtId="0" fontId="30" fillId="0" borderId="0" xfId="0" applyFont="1" applyAlignment="1">
      <alignment horizontal="left"/>
    </xf>
    <xf numFmtId="164" fontId="30" fillId="0" borderId="0" xfId="0" applyNumberFormat="1" applyFont="1" applyAlignment="1">
      <alignment horizontal="center"/>
    </xf>
    <xf numFmtId="167" fontId="30" fillId="0" borderId="0" xfId="0" applyNumberFormat="1" applyFont="1" applyAlignment="1">
      <alignment horizontal="center"/>
    </xf>
    <xf numFmtId="165" fontId="30" fillId="0" borderId="0" xfId="0" applyNumberFormat="1" applyFont="1" applyAlignment="1">
      <alignment horizontal="center"/>
    </xf>
    <xf numFmtId="2" fontId="30" fillId="0" borderId="0" xfId="0" applyNumberFormat="1" applyFont="1" applyAlignment="1">
      <alignment horizontal="center"/>
    </xf>
    <xf numFmtId="168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1" fontId="30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2" fontId="31" fillId="0" borderId="0" xfId="0" applyNumberFormat="1" applyFont="1" applyAlignment="1">
      <alignment horizontal="center"/>
    </xf>
    <xf numFmtId="1" fontId="3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3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4" applyFont="1" applyFill="1" applyBorder="1" applyAlignment="1">
      <alignment horizontal="center" wrapText="1"/>
    </xf>
    <xf numFmtId="2" fontId="4" fillId="0" borderId="1" xfId="4" applyNumberFormat="1" applyFont="1" applyFill="1" applyBorder="1" applyAlignment="1">
      <alignment horizontal="center" wrapText="1"/>
    </xf>
    <xf numFmtId="1" fontId="4" fillId="0" borderId="1" xfId="4" applyNumberFormat="1" applyFont="1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wrapText="1"/>
    </xf>
    <xf numFmtId="169" fontId="6" fillId="0" borderId="0" xfId="3" applyNumberFormat="1" applyFont="1" applyFill="1" applyBorder="1" applyAlignment="1">
      <alignment horizontal="center"/>
    </xf>
    <xf numFmtId="170" fontId="6" fillId="0" borderId="0" xfId="0" applyNumberFormat="1" applyFont="1" applyAlignment="1">
      <alignment horizontal="center"/>
    </xf>
    <xf numFmtId="169" fontId="4" fillId="0" borderId="0" xfId="0" applyNumberFormat="1" applyFont="1" applyAlignment="1">
      <alignment horizontal="center"/>
    </xf>
    <xf numFmtId="170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/>
    </xf>
    <xf numFmtId="169" fontId="27" fillId="0" borderId="0" xfId="3" applyNumberFormat="1" applyFont="1" applyFill="1" applyBorder="1" applyAlignment="1">
      <alignment horizontal="center"/>
    </xf>
    <xf numFmtId="170" fontId="27" fillId="0" borderId="0" xfId="0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11" fontId="6" fillId="0" borderId="0" xfId="3" applyNumberFormat="1" applyFont="1" applyFill="1" applyBorder="1" applyAlignment="1">
      <alignment horizontal="center"/>
    </xf>
    <xf numFmtId="2" fontId="4" fillId="0" borderId="0" xfId="4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170" fontId="6" fillId="0" borderId="3" xfId="0" applyNumberFormat="1" applyFont="1" applyBorder="1" applyAlignment="1">
      <alignment horizontal="center"/>
    </xf>
    <xf numFmtId="167" fontId="6" fillId="0" borderId="3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171" fontId="4" fillId="0" borderId="0" xfId="0" applyNumberFormat="1" applyFont="1" applyAlignment="1">
      <alignment horizontal="center"/>
    </xf>
    <xf numFmtId="0" fontId="31" fillId="0" borderId="0" xfId="0" applyFont="1"/>
    <xf numFmtId="0" fontId="34" fillId="0" borderId="0" xfId="0" applyFont="1"/>
    <xf numFmtId="0" fontId="35" fillId="0" borderId="0" xfId="0" applyFont="1"/>
    <xf numFmtId="0" fontId="5" fillId="0" borderId="0" xfId="0" applyFont="1" applyAlignment="1">
      <alignment wrapText="1"/>
    </xf>
    <xf numFmtId="0" fontId="36" fillId="0" borderId="0" xfId="0" applyFont="1" applyAlignment="1">
      <alignment wrapText="1"/>
    </xf>
    <xf numFmtId="2" fontId="4" fillId="0" borderId="0" xfId="0" applyNumberFormat="1" applyFont="1" applyAlignment="1">
      <alignment horizontal="left"/>
    </xf>
    <xf numFmtId="171" fontId="6" fillId="0" borderId="0" xfId="0" applyNumberFormat="1" applyFont="1"/>
    <xf numFmtId="168" fontId="6" fillId="0" borderId="0" xfId="0" applyNumberFormat="1" applyFont="1"/>
    <xf numFmtId="2" fontId="2" fillId="0" borderId="0" xfId="0" applyNumberFormat="1" applyFont="1"/>
    <xf numFmtId="2" fontId="6" fillId="0" borderId="0" xfId="0" applyNumberFormat="1" applyFont="1"/>
    <xf numFmtId="164" fontId="2" fillId="0" borderId="0" xfId="0" applyNumberFormat="1" applyFont="1"/>
    <xf numFmtId="171" fontId="4" fillId="0" borderId="0" xfId="0" applyNumberFormat="1" applyFont="1"/>
    <xf numFmtId="168" fontId="4" fillId="0" borderId="0" xfId="0" applyNumberFormat="1" applyFont="1"/>
    <xf numFmtId="2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27" fillId="0" borderId="0" xfId="0" applyFont="1"/>
    <xf numFmtId="171" fontId="27" fillId="0" borderId="0" xfId="0" applyNumberFormat="1" applyFont="1"/>
    <xf numFmtId="168" fontId="27" fillId="0" borderId="0" xfId="0" applyNumberFormat="1" applyFont="1"/>
    <xf numFmtId="2" fontId="27" fillId="0" borderId="0" xfId="0" applyNumberFormat="1" applyFont="1"/>
    <xf numFmtId="2" fontId="37" fillId="0" borderId="0" xfId="0" applyNumberFormat="1" applyFont="1"/>
    <xf numFmtId="170" fontId="4" fillId="0" borderId="0" xfId="0" applyNumberFormat="1" applyFont="1"/>
    <xf numFmtId="171" fontId="2" fillId="0" borderId="0" xfId="0" applyNumberFormat="1" applyFont="1"/>
    <xf numFmtId="168" fontId="2" fillId="0" borderId="0" xfId="0" applyNumberFormat="1" applyFont="1"/>
    <xf numFmtId="171" fontId="30" fillId="0" borderId="0" xfId="0" applyNumberFormat="1" applyFont="1"/>
    <xf numFmtId="168" fontId="30" fillId="0" borderId="0" xfId="0" applyNumberFormat="1" applyFont="1"/>
    <xf numFmtId="2" fontId="30" fillId="0" borderId="0" xfId="0" applyNumberFormat="1" applyFont="1"/>
    <xf numFmtId="0" fontId="5" fillId="0" borderId="4" xfId="0" applyFont="1" applyBorder="1" applyAlignment="1">
      <alignment wrapText="1"/>
    </xf>
    <xf numFmtId="0" fontId="36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2" fontId="6" fillId="0" borderId="8" xfId="0" applyNumberFormat="1" applyFont="1" applyBorder="1"/>
    <xf numFmtId="0" fontId="6" fillId="0" borderId="9" xfId="0" applyFont="1" applyBorder="1" applyAlignment="1">
      <alignment wrapText="1"/>
    </xf>
    <xf numFmtId="0" fontId="6" fillId="0" borderId="1" xfId="0" applyFont="1" applyBorder="1"/>
    <xf numFmtId="2" fontId="6" fillId="0" borderId="10" xfId="0" applyNumberFormat="1" applyFont="1" applyBorder="1"/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6" fillId="0" borderId="0" xfId="5" applyFont="1"/>
    <xf numFmtId="0" fontId="3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2" fontId="2" fillId="0" borderId="0" xfId="6" applyNumberFormat="1" applyFont="1" applyAlignment="1">
      <alignment horizontal="left"/>
    </xf>
    <xf numFmtId="165" fontId="2" fillId="0" borderId="0" xfId="7" applyNumberFormat="1" applyFont="1" applyAlignment="1">
      <alignment horizontal="center"/>
    </xf>
    <xf numFmtId="2" fontId="2" fillId="0" borderId="0" xfId="7" applyNumberFormat="1" applyFont="1" applyAlignment="1">
      <alignment horizontal="center"/>
    </xf>
    <xf numFmtId="2" fontId="6" fillId="0" borderId="0" xfId="6" applyNumberFormat="1" applyFont="1" applyAlignment="1">
      <alignment horizontal="left"/>
    </xf>
    <xf numFmtId="0" fontId="41" fillId="0" borderId="0" xfId="0" applyFont="1" applyAlignment="1">
      <alignment horizontal="left"/>
    </xf>
    <xf numFmtId="2" fontId="42" fillId="0" borderId="0" xfId="0" applyNumberFormat="1" applyFont="1" applyAlignment="1">
      <alignment horizontal="left"/>
    </xf>
    <xf numFmtId="0" fontId="43" fillId="0" borderId="0" xfId="0" applyFont="1" applyAlignment="1">
      <alignment horizontal="left"/>
    </xf>
    <xf numFmtId="164" fontId="43" fillId="0" borderId="0" xfId="0" applyNumberFormat="1" applyFont="1" applyAlignment="1">
      <alignment horizontal="left"/>
    </xf>
    <xf numFmtId="2" fontId="43" fillId="0" borderId="0" xfId="0" applyNumberFormat="1" applyFont="1" applyAlignment="1">
      <alignment horizontal="left"/>
    </xf>
    <xf numFmtId="165" fontId="43" fillId="0" borderId="0" xfId="0" applyNumberFormat="1" applyFont="1" applyAlignment="1">
      <alignment horizontal="left"/>
    </xf>
    <xf numFmtId="2" fontId="43" fillId="0" borderId="0" xfId="6" applyNumberFormat="1" applyFont="1" applyAlignment="1">
      <alignment horizontal="left"/>
    </xf>
    <xf numFmtId="165" fontId="43" fillId="0" borderId="0" xfId="0" applyNumberFormat="1" applyFont="1" applyAlignment="1">
      <alignment horizontal="center"/>
    </xf>
    <xf numFmtId="2" fontId="4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left"/>
    </xf>
    <xf numFmtId="2" fontId="41" fillId="0" borderId="0" xfId="0" applyNumberFormat="1" applyFont="1" applyAlignment="1">
      <alignment horizontal="left"/>
    </xf>
    <xf numFmtId="2" fontId="5" fillId="0" borderId="0" xfId="6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left"/>
    </xf>
    <xf numFmtId="2" fontId="27" fillId="0" borderId="0" xfId="0" applyNumberFormat="1" applyFont="1" applyAlignment="1">
      <alignment horizontal="left"/>
    </xf>
    <xf numFmtId="165" fontId="27" fillId="0" borderId="0" xfId="0" applyNumberFormat="1" applyFont="1" applyAlignment="1">
      <alignment horizontal="left"/>
    </xf>
    <xf numFmtId="2" fontId="27" fillId="0" borderId="0" xfId="6" applyNumberFormat="1" applyFont="1" applyAlignment="1">
      <alignment horizontal="left"/>
    </xf>
    <xf numFmtId="0" fontId="44" fillId="0" borderId="0" xfId="0" applyFont="1" applyAlignment="1">
      <alignment horizontal="left"/>
    </xf>
    <xf numFmtId="164" fontId="44" fillId="0" borderId="0" xfId="0" applyNumberFormat="1" applyFont="1" applyAlignment="1">
      <alignment horizontal="left"/>
    </xf>
    <xf numFmtId="2" fontId="44" fillId="0" borderId="0" xfId="0" applyNumberFormat="1" applyFont="1" applyAlignment="1">
      <alignment horizontal="left"/>
    </xf>
    <xf numFmtId="165" fontId="44" fillId="0" borderId="0" xfId="0" applyNumberFormat="1" applyFont="1" applyAlignment="1">
      <alignment horizontal="left"/>
    </xf>
    <xf numFmtId="2" fontId="44" fillId="0" borderId="0" xfId="6" applyNumberFormat="1" applyFont="1" applyAlignment="1">
      <alignment horizontal="left"/>
    </xf>
    <xf numFmtId="165" fontId="44" fillId="0" borderId="0" xfId="0" applyNumberFormat="1" applyFont="1" applyAlignment="1">
      <alignment horizontal="center"/>
    </xf>
    <xf numFmtId="2" fontId="44" fillId="0" borderId="0" xfId="0" applyNumberFormat="1" applyFont="1" applyAlignment="1">
      <alignment horizontal="center"/>
    </xf>
    <xf numFmtId="0" fontId="32" fillId="0" borderId="0" xfId="0" applyFont="1" applyAlignment="1">
      <alignment horizontal="left"/>
    </xf>
    <xf numFmtId="164" fontId="32" fillId="0" borderId="0" xfId="0" applyNumberFormat="1" applyFont="1" applyAlignment="1">
      <alignment horizontal="left"/>
    </xf>
    <xf numFmtId="2" fontId="32" fillId="0" borderId="0" xfId="0" applyNumberFormat="1" applyFont="1" applyAlignment="1">
      <alignment horizontal="left"/>
    </xf>
    <xf numFmtId="165" fontId="32" fillId="0" borderId="0" xfId="0" applyNumberFormat="1" applyFont="1" applyAlignment="1">
      <alignment horizontal="left"/>
    </xf>
    <xf numFmtId="2" fontId="32" fillId="0" borderId="0" xfId="6" applyNumberFormat="1" applyFont="1" applyAlignment="1">
      <alignment horizontal="left"/>
    </xf>
    <xf numFmtId="165" fontId="32" fillId="0" borderId="0" xfId="0" applyNumberFormat="1" applyFont="1" applyAlignment="1">
      <alignment horizontal="center"/>
    </xf>
    <xf numFmtId="2" fontId="32" fillId="0" borderId="0" xfId="0" applyNumberFormat="1" applyFont="1" applyAlignment="1">
      <alignment horizontal="center"/>
    </xf>
    <xf numFmtId="164" fontId="29" fillId="0" borderId="0" xfId="0" applyNumberFormat="1" applyFont="1" applyAlignment="1">
      <alignment horizontal="left"/>
    </xf>
    <xf numFmtId="2" fontId="29" fillId="0" borderId="0" xfId="0" applyNumberFormat="1" applyFont="1" applyAlignment="1">
      <alignment horizontal="left"/>
    </xf>
    <xf numFmtId="165" fontId="29" fillId="0" borderId="0" xfId="0" applyNumberFormat="1" applyFont="1" applyAlignment="1">
      <alignment horizontal="left"/>
    </xf>
    <xf numFmtId="2" fontId="29" fillId="0" borderId="0" xfId="6" applyNumberFormat="1" applyFont="1" applyAlignment="1">
      <alignment horizontal="left"/>
    </xf>
    <xf numFmtId="164" fontId="29" fillId="0" borderId="0" xfId="6" applyNumberFormat="1" applyFont="1" applyAlignment="1">
      <alignment horizontal="left"/>
    </xf>
    <xf numFmtId="2" fontId="6" fillId="0" borderId="0" xfId="7" applyNumberFormat="1" applyFont="1" applyAlignment="1">
      <alignment horizontal="center"/>
    </xf>
    <xf numFmtId="2" fontId="4" fillId="0" borderId="0" xfId="6" applyNumberFormat="1" applyFont="1" applyAlignment="1">
      <alignment horizontal="left"/>
    </xf>
    <xf numFmtId="2" fontId="32" fillId="0" borderId="0" xfId="7" applyNumberFormat="1" applyFont="1" applyAlignment="1">
      <alignment horizontal="center"/>
    </xf>
    <xf numFmtId="0" fontId="45" fillId="5" borderId="0" xfId="0" applyFont="1" applyFill="1" applyAlignment="1">
      <alignment horizontal="left"/>
    </xf>
    <xf numFmtId="0" fontId="46" fillId="5" borderId="0" xfId="0" applyFont="1" applyFill="1" applyAlignment="1">
      <alignment horizontal="left"/>
    </xf>
    <xf numFmtId="0" fontId="46" fillId="5" borderId="0" xfId="0" applyFont="1" applyFill="1" applyAlignment="1">
      <alignment horizontal="center"/>
    </xf>
    <xf numFmtId="0" fontId="5" fillId="0" borderId="0" xfId="6" applyFont="1" applyAlignment="1">
      <alignment horizontal="left"/>
    </xf>
    <xf numFmtId="165" fontId="2" fillId="0" borderId="0" xfId="6" applyNumberFormat="1" applyFont="1" applyAlignment="1">
      <alignment horizontal="left"/>
    </xf>
    <xf numFmtId="0" fontId="47" fillId="0" borderId="0" xfId="6" applyFont="1" applyAlignment="1">
      <alignment horizontal="left"/>
    </xf>
    <xf numFmtId="0" fontId="25" fillId="0" borderId="0" xfId="6" applyFont="1"/>
    <xf numFmtId="165" fontId="25" fillId="0" borderId="0" xfId="6" applyNumberFormat="1" applyFont="1" applyAlignment="1">
      <alignment horizontal="right"/>
    </xf>
    <xf numFmtId="0" fontId="5" fillId="0" borderId="1" xfId="6" applyFont="1" applyBorder="1" applyAlignment="1">
      <alignment horizontal="left"/>
    </xf>
    <xf numFmtId="165" fontId="2" fillId="0" borderId="1" xfId="6" applyNumberFormat="1" applyFont="1" applyBorder="1" applyAlignment="1">
      <alignment horizontal="left"/>
    </xf>
    <xf numFmtId="0" fontId="47" fillId="0" borderId="1" xfId="6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5" fillId="0" borderId="1" xfId="6" applyFont="1" applyBorder="1"/>
    <xf numFmtId="165" fontId="25" fillId="0" borderId="1" xfId="6" applyNumberFormat="1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0" fontId="48" fillId="5" borderId="0" xfId="0" applyFont="1" applyFill="1"/>
    <xf numFmtId="0" fontId="46" fillId="5" borderId="0" xfId="0" applyFont="1" applyFill="1"/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72" fontId="5" fillId="0" borderId="0" xfId="7" applyNumberFormat="1" applyFont="1" applyAlignment="1">
      <alignment horizontal="center" vertical="center"/>
    </xf>
    <xf numFmtId="0" fontId="5" fillId="0" borderId="0" xfId="7" applyFont="1" applyAlignment="1">
      <alignment horizontal="center" vertical="center"/>
    </xf>
    <xf numFmtId="2" fontId="51" fillId="0" borderId="0" xfId="0" applyNumberFormat="1" applyFont="1" applyAlignment="1">
      <alignment horizontal="center"/>
    </xf>
    <xf numFmtId="0" fontId="51" fillId="0" borderId="0" xfId="0" applyFont="1"/>
    <xf numFmtId="1" fontId="51" fillId="0" borderId="0" xfId="0" applyNumberFormat="1" applyFont="1" applyAlignment="1">
      <alignment horizontal="center"/>
    </xf>
    <xf numFmtId="0" fontId="5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0" xfId="0" applyNumberFormat="1" applyFont="1"/>
    <xf numFmtId="2" fontId="45" fillId="5" borderId="0" xfId="0" applyNumberFormat="1" applyFont="1" applyFill="1"/>
    <xf numFmtId="2" fontId="5" fillId="0" borderId="0" xfId="0" applyNumberFormat="1" applyFont="1" applyAlignment="1">
      <alignment horizontal="left"/>
    </xf>
    <xf numFmtId="2" fontId="5" fillId="0" borderId="4" xfId="0" applyNumberFormat="1" applyFont="1" applyBorder="1"/>
    <xf numFmtId="0" fontId="6" fillId="0" borderId="7" xfId="0" applyFont="1" applyBorder="1" applyAlignment="1">
      <alignment horizontal="center"/>
    </xf>
    <xf numFmtId="2" fontId="5" fillId="0" borderId="7" xfId="0" applyNumberFormat="1" applyFont="1" applyBorder="1"/>
    <xf numFmtId="0" fontId="5" fillId="0" borderId="7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165" fontId="2" fillId="0" borderId="0" xfId="0" applyNumberFormat="1" applyFont="1" applyAlignment="1">
      <alignment horizontal="left"/>
    </xf>
    <xf numFmtId="165" fontId="5" fillId="0" borderId="0" xfId="0" applyNumberFormat="1" applyFont="1"/>
    <xf numFmtId="165" fontId="52" fillId="0" borderId="0" xfId="0" applyNumberFormat="1" applyFont="1"/>
    <xf numFmtId="165" fontId="53" fillId="0" borderId="0" xfId="0" applyNumberFormat="1" applyFont="1"/>
    <xf numFmtId="0" fontId="54" fillId="0" borderId="0" xfId="0" applyFont="1"/>
    <xf numFmtId="0" fontId="5" fillId="0" borderId="0" xfId="0" applyFont="1" applyAlignment="1">
      <alignment horizontal="left"/>
    </xf>
    <xf numFmtId="0" fontId="6" fillId="0" borderId="0" xfId="2" applyFont="1" applyAlignment="1">
      <alignment horizontal="left" wrapText="1"/>
    </xf>
    <xf numFmtId="164" fontId="6" fillId="0" borderId="0" xfId="2" applyNumberFormat="1" applyFont="1" applyAlignment="1">
      <alignment horizontal="right" wrapText="1"/>
    </xf>
    <xf numFmtId="2" fontId="6" fillId="0" borderId="0" xfId="2" applyNumberFormat="1" applyFont="1" applyAlignment="1">
      <alignment horizontal="right" wrapText="1"/>
    </xf>
    <xf numFmtId="0" fontId="6" fillId="0" borderId="0" xfId="2" applyFont="1" applyAlignment="1">
      <alignment horizontal="right" wrapText="1"/>
    </xf>
    <xf numFmtId="1" fontId="6" fillId="0" borderId="0" xfId="2" applyNumberFormat="1" applyFont="1" applyAlignment="1">
      <alignment horizontal="right" wrapText="1"/>
    </xf>
    <xf numFmtId="0" fontId="55" fillId="0" borderId="0" xfId="0" applyFont="1" applyAlignment="1">
      <alignment horizontal="left"/>
    </xf>
    <xf numFmtId="0" fontId="56" fillId="0" borderId="0" xfId="0" applyFont="1" applyAlignment="1">
      <alignment horizontal="left"/>
    </xf>
    <xf numFmtId="164" fontId="55" fillId="0" borderId="0" xfId="0" applyNumberFormat="1" applyFont="1" applyAlignment="1">
      <alignment horizontal="center"/>
    </xf>
    <xf numFmtId="167" fontId="55" fillId="0" borderId="0" xfId="0" applyNumberFormat="1" applyFont="1" applyAlignment="1">
      <alignment horizontal="center"/>
    </xf>
    <xf numFmtId="165" fontId="55" fillId="0" borderId="0" xfId="0" applyNumberFormat="1" applyFont="1" applyAlignment="1">
      <alignment horizontal="center"/>
    </xf>
    <xf numFmtId="2" fontId="55" fillId="0" borderId="0" xfId="0" applyNumberFormat="1" applyFont="1" applyAlignment="1">
      <alignment horizontal="center"/>
    </xf>
    <xf numFmtId="168" fontId="55" fillId="0" borderId="0" xfId="0" applyNumberFormat="1" applyFont="1" applyAlignment="1">
      <alignment horizontal="center"/>
    </xf>
    <xf numFmtId="0" fontId="55" fillId="0" borderId="0" xfId="0" applyFont="1" applyAlignment="1">
      <alignment horizontal="center"/>
    </xf>
    <xf numFmtId="1" fontId="55" fillId="0" borderId="0" xfId="0" applyNumberFormat="1" applyFont="1" applyAlignment="1">
      <alignment horizontal="center"/>
    </xf>
    <xf numFmtId="0" fontId="56" fillId="0" borderId="0" xfId="0" applyFont="1" applyAlignment="1">
      <alignment horizontal="center"/>
    </xf>
    <xf numFmtId="165" fontId="56" fillId="0" borderId="0" xfId="0" applyNumberFormat="1" applyFont="1" applyAlignment="1">
      <alignment horizontal="center"/>
    </xf>
    <xf numFmtId="168" fontId="56" fillId="0" borderId="0" xfId="0" applyNumberFormat="1" applyFont="1" applyAlignment="1">
      <alignment horizontal="center"/>
    </xf>
    <xf numFmtId="2" fontId="56" fillId="0" borderId="0" xfId="0" applyNumberFormat="1" applyFont="1" applyAlignment="1">
      <alignment horizontal="center"/>
    </xf>
    <xf numFmtId="164" fontId="56" fillId="0" borderId="0" xfId="0" applyNumberFormat="1" applyFont="1" applyAlignment="1">
      <alignment horizontal="center"/>
    </xf>
    <xf numFmtId="1" fontId="56" fillId="0" borderId="0" xfId="0" applyNumberFormat="1" applyFont="1" applyAlignment="1">
      <alignment horizontal="center"/>
    </xf>
    <xf numFmtId="11" fontId="56" fillId="0" borderId="0" xfId="0" applyNumberFormat="1" applyFont="1" applyAlignment="1">
      <alignment horizontal="center"/>
    </xf>
  </cellXfs>
  <cellStyles count="8">
    <cellStyle name="Calculation" xfId="4" builtinId="22"/>
    <cellStyle name="Comma" xfId="1" builtinId="3"/>
    <cellStyle name="Hyperlink" xfId="5" builtinId="8"/>
    <cellStyle name="Input" xfId="3" builtinId="20"/>
    <cellStyle name="Normal" xfId="0" builtinId="0"/>
    <cellStyle name="Normal 2" xfId="6" xr:uid="{BBAC2417-9E46-9448-9930-8AAAB4801EE2}"/>
    <cellStyle name="Normal_ActLab_results" xfId="2" xr:uid="{4B67E2B7-B1EC-AE4D-9284-D1E7F4AF9EDF}"/>
    <cellStyle name="常规_Mineral Data - Chituling" xfId="7" xr:uid="{CE125A4D-7463-134A-9F17-894E65981F18}"/>
  </cellStyles>
  <dxfs count="0"/>
  <tableStyles count="0" defaultTableStyle="TableStyleMedium2" defaultPivotStyle="PivotStyleLight16"/>
  <colors>
    <mruColors>
      <color rgb="FF585958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S0022@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455A7-882A-A841-969A-23BCD06E2A86}">
  <sheetPr codeName="Sheet1"/>
  <dimension ref="A1:DP102"/>
  <sheetViews>
    <sheetView zoomScaleNormal="100" workbookViewId="0">
      <pane xSplit="3" ySplit="2" topLeftCell="D73" activePane="bottomRight" state="frozen"/>
      <selection pane="topRight" activeCell="D1" sqref="D1"/>
      <selection pane="bottomLeft" activeCell="A3" sqref="A3"/>
      <selection pane="bottomRight" activeCell="A87" sqref="A87:XFD96"/>
    </sheetView>
  </sheetViews>
  <sheetFormatPr baseColWidth="10" defaultRowHeight="15"/>
  <cols>
    <col min="1" max="1" width="16.33203125" customWidth="1"/>
    <col min="3" max="3" width="20.1640625" customWidth="1"/>
    <col min="4" max="16" width="8.1640625" customWidth="1"/>
    <col min="17" max="17" width="5" customWidth="1"/>
    <col min="18" max="18" width="9.6640625" customWidth="1"/>
    <col min="19" max="30" width="8.1640625" customWidth="1"/>
    <col min="31" max="31" width="4.83203125" customWidth="1"/>
    <col min="32" max="39" width="8.1640625" customWidth="1"/>
    <col min="40" max="40" width="9.1640625" bestFit="1" customWidth="1"/>
    <col min="41" max="42" width="8.1640625" customWidth="1"/>
    <col min="43" max="43" width="9.1640625" bestFit="1" customWidth="1"/>
    <col min="44" max="45" width="8.1640625" customWidth="1"/>
    <col min="46" max="46" width="7.5" customWidth="1"/>
    <col min="47" max="47" width="9.1640625" bestFit="1" customWidth="1"/>
    <col min="48" max="48" width="10.6640625" bestFit="1" customWidth="1"/>
    <col min="49" max="88" width="8.1640625" customWidth="1"/>
    <col min="89" max="89" width="9" bestFit="1" customWidth="1"/>
    <col min="90" max="90" width="9.5" bestFit="1" customWidth="1"/>
    <col min="91" max="98" width="8.1640625" customWidth="1"/>
    <col min="99" max="100" width="8.1640625" style="1" customWidth="1"/>
    <col min="101" max="101" width="10" bestFit="1" customWidth="1"/>
    <col min="102" max="102" width="8.1640625" customWidth="1"/>
    <col min="103" max="104" width="8.1640625" style="1" customWidth="1"/>
  </cols>
  <sheetData>
    <row r="1" spans="1:104" s="27" customFormat="1">
      <c r="A1" s="22" t="s">
        <v>1346</v>
      </c>
      <c r="B1" s="25"/>
      <c r="C1" s="2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2" t="s">
        <v>209</v>
      </c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5"/>
      <c r="CV1" s="25"/>
      <c r="CW1" s="26"/>
      <c r="CX1" s="26"/>
      <c r="CY1" s="25"/>
      <c r="CZ1" s="25"/>
    </row>
    <row r="2" spans="1:104" ht="14" customHeight="1">
      <c r="A2" s="7" t="s">
        <v>170</v>
      </c>
      <c r="B2" s="7" t="s">
        <v>91</v>
      </c>
      <c r="C2" s="7" t="s">
        <v>0</v>
      </c>
      <c r="D2" s="7" t="s">
        <v>111</v>
      </c>
      <c r="E2" s="7" t="s">
        <v>112</v>
      </c>
      <c r="F2" s="7" t="s">
        <v>113</v>
      </c>
      <c r="G2" s="7" t="s">
        <v>114</v>
      </c>
      <c r="H2" s="7" t="s">
        <v>1</v>
      </c>
      <c r="I2" s="7" t="s">
        <v>2</v>
      </c>
      <c r="J2" s="7" t="s">
        <v>3</v>
      </c>
      <c r="K2" s="7" t="s">
        <v>115</v>
      </c>
      <c r="L2" s="7" t="s">
        <v>116</v>
      </c>
      <c r="M2" s="7" t="s">
        <v>117</v>
      </c>
      <c r="N2" s="7" t="s">
        <v>69</v>
      </c>
      <c r="O2" s="7" t="s">
        <v>118</v>
      </c>
      <c r="P2" s="7" t="s">
        <v>70</v>
      </c>
      <c r="Q2" s="7"/>
      <c r="R2" s="7" t="s">
        <v>111</v>
      </c>
      <c r="S2" s="7" t="s">
        <v>112</v>
      </c>
      <c r="T2" s="7" t="s">
        <v>113</v>
      </c>
      <c r="U2" s="7" t="s">
        <v>114</v>
      </c>
      <c r="V2" s="7" t="s">
        <v>1</v>
      </c>
      <c r="W2" s="7" t="s">
        <v>2</v>
      </c>
      <c r="X2" s="7" t="s">
        <v>3</v>
      </c>
      <c r="Y2" s="7" t="s">
        <v>115</v>
      </c>
      <c r="Z2" s="7" t="s">
        <v>116</v>
      </c>
      <c r="AA2" s="7" t="s">
        <v>117</v>
      </c>
      <c r="AB2" s="7" t="s">
        <v>69</v>
      </c>
      <c r="AC2" s="7" t="s">
        <v>118</v>
      </c>
      <c r="AD2" s="7" t="s">
        <v>70</v>
      </c>
      <c r="AE2" s="7"/>
      <c r="AF2" s="7" t="s">
        <v>71</v>
      </c>
      <c r="AG2" s="7" t="s">
        <v>72</v>
      </c>
      <c r="AH2" s="7" t="s">
        <v>4</v>
      </c>
      <c r="AI2" s="7" t="s">
        <v>5</v>
      </c>
      <c r="AJ2" s="7" t="s">
        <v>73</v>
      </c>
      <c r="AK2" s="7" t="s">
        <v>74</v>
      </c>
      <c r="AL2" s="7" t="s">
        <v>75</v>
      </c>
      <c r="AM2" s="7" t="s">
        <v>6</v>
      </c>
      <c r="AN2" s="7" t="s">
        <v>10</v>
      </c>
      <c r="AO2" s="7" t="s">
        <v>23</v>
      </c>
      <c r="AP2" s="7" t="s">
        <v>24</v>
      </c>
      <c r="AQ2" s="7" t="s">
        <v>20</v>
      </c>
      <c r="AR2" s="7" t="s">
        <v>22</v>
      </c>
      <c r="AS2" s="7" t="s">
        <v>21</v>
      </c>
      <c r="AT2" s="7" t="s">
        <v>25</v>
      </c>
      <c r="AU2" s="7" t="s">
        <v>27</v>
      </c>
      <c r="AV2" s="7" t="s">
        <v>11</v>
      </c>
      <c r="AW2" s="7" t="s">
        <v>7</v>
      </c>
      <c r="AX2" s="7" t="s">
        <v>8</v>
      </c>
      <c r="AY2" s="7" t="s">
        <v>17</v>
      </c>
      <c r="AZ2" s="7" t="s">
        <v>9</v>
      </c>
      <c r="BA2" s="7" t="s">
        <v>39</v>
      </c>
      <c r="BB2" s="7" t="s">
        <v>40</v>
      </c>
      <c r="BC2" s="7" t="s">
        <v>41</v>
      </c>
      <c r="BD2" s="7" t="s">
        <v>42</v>
      </c>
      <c r="BE2" s="7" t="s">
        <v>43</v>
      </c>
      <c r="BF2" s="7" t="s">
        <v>44</v>
      </c>
      <c r="BG2" s="7" t="s">
        <v>45</v>
      </c>
      <c r="BH2" s="7" t="s">
        <v>46</v>
      </c>
      <c r="BI2" s="7" t="s">
        <v>47</v>
      </c>
      <c r="BJ2" s="7" t="s">
        <v>48</v>
      </c>
      <c r="BK2" s="7" t="s">
        <v>49</v>
      </c>
      <c r="BL2" s="7" t="s">
        <v>50</v>
      </c>
      <c r="BM2" s="7" t="s">
        <v>51</v>
      </c>
      <c r="BN2" s="7" t="s">
        <v>52</v>
      </c>
      <c r="BO2" s="7" t="s">
        <v>26</v>
      </c>
      <c r="BP2" s="7" t="s">
        <v>18</v>
      </c>
      <c r="BQ2" s="7" t="s">
        <v>19</v>
      </c>
      <c r="BR2" s="7" t="s">
        <v>14</v>
      </c>
      <c r="BS2" s="7" t="s">
        <v>13</v>
      </c>
      <c r="BT2" s="7" t="s">
        <v>16</v>
      </c>
      <c r="BU2" s="7" t="s">
        <v>15</v>
      </c>
      <c r="BV2" s="7" t="s">
        <v>36</v>
      </c>
      <c r="BW2" s="7" t="s">
        <v>30</v>
      </c>
      <c r="BX2" s="7" t="s">
        <v>31</v>
      </c>
      <c r="BY2" s="7" t="s">
        <v>32</v>
      </c>
      <c r="BZ2" s="7" t="s">
        <v>34</v>
      </c>
      <c r="CA2" s="7" t="s">
        <v>28</v>
      </c>
      <c r="CB2" s="7" t="s">
        <v>33</v>
      </c>
      <c r="CC2" s="7" t="s">
        <v>29</v>
      </c>
      <c r="CD2" s="7" t="s">
        <v>76</v>
      </c>
      <c r="CE2" s="7" t="s">
        <v>35</v>
      </c>
      <c r="CF2" s="7" t="s">
        <v>37</v>
      </c>
      <c r="CG2" s="7" t="s">
        <v>38</v>
      </c>
      <c r="CH2" s="7" t="s">
        <v>12</v>
      </c>
      <c r="CI2" s="7" t="s">
        <v>123</v>
      </c>
      <c r="CJ2" s="7" t="s">
        <v>53</v>
      </c>
      <c r="CK2" s="7" t="s">
        <v>119</v>
      </c>
      <c r="CL2" s="7" t="s">
        <v>120</v>
      </c>
      <c r="CM2" s="7" t="s">
        <v>54</v>
      </c>
      <c r="CN2" s="7" t="s">
        <v>86</v>
      </c>
      <c r="CO2" s="7" t="s">
        <v>125</v>
      </c>
      <c r="CP2" s="7" t="s">
        <v>121</v>
      </c>
      <c r="CQ2" s="7" t="s">
        <v>77</v>
      </c>
      <c r="CR2" s="7" t="s">
        <v>85</v>
      </c>
      <c r="CS2" s="7" t="s">
        <v>78</v>
      </c>
      <c r="CT2" s="7" t="s">
        <v>55</v>
      </c>
      <c r="CU2" s="8" t="s">
        <v>122</v>
      </c>
      <c r="CV2" s="8" t="s">
        <v>210</v>
      </c>
      <c r="CW2" s="8" t="s">
        <v>79</v>
      </c>
      <c r="CX2" s="8" t="s">
        <v>80</v>
      </c>
      <c r="CY2" s="8" t="s">
        <v>81</v>
      </c>
      <c r="CZ2" s="8" t="s">
        <v>82</v>
      </c>
    </row>
    <row r="3" spans="1:104" ht="14" customHeight="1">
      <c r="A3" s="3" t="s">
        <v>211</v>
      </c>
      <c r="B3" s="3" t="s">
        <v>92</v>
      </c>
      <c r="C3" s="3" t="s">
        <v>56</v>
      </c>
      <c r="D3" s="4">
        <v>49.7</v>
      </c>
      <c r="E3" s="10">
        <v>1.1299999999999999</v>
      </c>
      <c r="F3" s="4">
        <v>15.2</v>
      </c>
      <c r="G3" s="4">
        <v>11.35</v>
      </c>
      <c r="H3" s="10">
        <v>0.14000000000000001</v>
      </c>
      <c r="I3" s="10">
        <v>6.97</v>
      </c>
      <c r="J3" s="4">
        <v>10.25</v>
      </c>
      <c r="K3" s="10">
        <v>2.44</v>
      </c>
      <c r="L3" s="10">
        <v>1.08</v>
      </c>
      <c r="M3" s="10">
        <v>0.13</v>
      </c>
      <c r="N3" s="10">
        <v>0.02</v>
      </c>
      <c r="O3" s="36">
        <v>5.2999999999999999E-2</v>
      </c>
      <c r="P3" s="10">
        <v>0.04</v>
      </c>
      <c r="Q3" s="10"/>
      <c r="R3" s="4">
        <f t="shared" ref="R3:R19" si="0">100*D3/(AI3-AH3)</f>
        <v>50.45685279187817</v>
      </c>
      <c r="S3" s="10">
        <f t="shared" ref="S3:S19" si="1">100*E3/(AI$3-AH$3)</f>
        <v>1.1472081218274111</v>
      </c>
      <c r="T3" s="4">
        <f t="shared" ref="T3:T19" si="2">100*F3/(AI3-AH3)</f>
        <v>15.431472081218274</v>
      </c>
      <c r="U3" s="4">
        <f t="shared" ref="U3:U19" si="3">100*G3/(AI3-AH3)</f>
        <v>11.522842639593909</v>
      </c>
      <c r="V3" s="10">
        <f t="shared" ref="V3:V19" si="4">100*H3/(AI3-AH3)</f>
        <v>0.14213197969543148</v>
      </c>
      <c r="W3" s="10">
        <f t="shared" ref="W3:W19" si="5">100*I3/(AI3-AH3)</f>
        <v>7.0761421319796955</v>
      </c>
      <c r="X3" s="10">
        <f t="shared" ref="X3:X19" si="6">100*J3/(AI3-AH3)</f>
        <v>10.406091370558375</v>
      </c>
      <c r="Y3" s="10">
        <f t="shared" ref="Y3:Y19" si="7">100*K3/(AI3-AH3)</f>
        <v>2.4771573604060912</v>
      </c>
      <c r="Z3" s="10">
        <f t="shared" ref="Z3:Z19" si="8">100*L3/(AI3-AH3)</f>
        <v>1.0964467005076142</v>
      </c>
      <c r="AA3" s="10">
        <f t="shared" ref="AA3:AA19" si="9">100*M3/(AI3-AH3)</f>
        <v>0.13197969543147209</v>
      </c>
      <c r="AB3" s="10">
        <f t="shared" ref="AB3:AB19" si="10">100*N3/(AI3-AH3)</f>
        <v>2.030456852791878E-2</v>
      </c>
      <c r="AC3" s="10">
        <f t="shared" ref="AC3:AC19" si="11">100*O3/(AI3-AH3)</f>
        <v>5.3807106598984772E-2</v>
      </c>
      <c r="AD3" s="10">
        <f t="shared" ref="AD3:AD19" si="12">100*P3/(AI3-AH3)</f>
        <v>4.060913705583756E-2</v>
      </c>
      <c r="AE3" s="10"/>
      <c r="AF3" s="10">
        <v>0.06</v>
      </c>
      <c r="AG3" s="10" t="s">
        <v>63</v>
      </c>
      <c r="AH3" s="10">
        <v>2.2000000000000002</v>
      </c>
      <c r="AI3" s="4">
        <v>100.7</v>
      </c>
      <c r="AJ3" s="11">
        <f>L3*39.1*2/(39.1*2+16)*10000</f>
        <v>8965.6050955414012</v>
      </c>
      <c r="AK3" s="11">
        <f>E3*47.867/(47.867+32)*10000</f>
        <v>6772.4729863397888</v>
      </c>
      <c r="AL3" s="11">
        <f>M3*2*30.97/(2*30.97+16*5)*10000</f>
        <v>567.29604058052689</v>
      </c>
      <c r="AM3" s="11">
        <v>142.5</v>
      </c>
      <c r="AN3" s="11">
        <v>20</v>
      </c>
      <c r="AO3" s="11">
        <v>32</v>
      </c>
      <c r="AP3" s="11">
        <v>205</v>
      </c>
      <c r="AQ3" s="11">
        <v>400</v>
      </c>
      <c r="AR3" s="11">
        <v>26</v>
      </c>
      <c r="AS3" s="11">
        <v>67</v>
      </c>
      <c r="AT3" s="11">
        <v>16</v>
      </c>
      <c r="AU3" s="11">
        <v>67</v>
      </c>
      <c r="AV3" s="4">
        <v>17.8</v>
      </c>
      <c r="AW3" s="4">
        <v>43.6</v>
      </c>
      <c r="AX3" s="4">
        <v>319</v>
      </c>
      <c r="AY3" s="4">
        <v>29.9</v>
      </c>
      <c r="AZ3" s="10">
        <v>1.74</v>
      </c>
      <c r="BA3" s="4">
        <v>14.5</v>
      </c>
      <c r="BB3" s="10">
        <v>42.2</v>
      </c>
      <c r="BC3" s="10">
        <v>6.42</v>
      </c>
      <c r="BD3" s="10">
        <v>28.6</v>
      </c>
      <c r="BE3" s="10">
        <v>6.82</v>
      </c>
      <c r="BF3" s="10">
        <v>1.2</v>
      </c>
      <c r="BG3" s="10">
        <v>6.22</v>
      </c>
      <c r="BH3" s="10">
        <v>0.94</v>
      </c>
      <c r="BI3" s="10">
        <v>5.43</v>
      </c>
      <c r="BJ3" s="10">
        <v>1.17</v>
      </c>
      <c r="BK3" s="10">
        <v>3.22</v>
      </c>
      <c r="BL3" s="10">
        <v>0.49</v>
      </c>
      <c r="BM3" s="10">
        <v>3.2</v>
      </c>
      <c r="BN3" s="10">
        <v>0.45</v>
      </c>
      <c r="BO3" s="10" t="s">
        <v>84</v>
      </c>
      <c r="BP3" s="10">
        <v>0.76</v>
      </c>
      <c r="BQ3" s="10">
        <v>0.31</v>
      </c>
      <c r="BR3" s="4">
        <v>6</v>
      </c>
      <c r="BS3" s="10">
        <v>0.3</v>
      </c>
      <c r="BT3" s="11">
        <v>74</v>
      </c>
      <c r="BU3" s="4">
        <v>2</v>
      </c>
      <c r="BV3" s="10" t="s">
        <v>58</v>
      </c>
      <c r="BW3" s="11">
        <v>6</v>
      </c>
      <c r="BX3" s="11">
        <v>1</v>
      </c>
      <c r="BY3" s="10" t="s">
        <v>59</v>
      </c>
      <c r="BZ3" s="4">
        <v>1.4</v>
      </c>
      <c r="CA3" s="10">
        <v>0.02</v>
      </c>
      <c r="CB3" s="10" t="s">
        <v>60</v>
      </c>
      <c r="CC3" s="12">
        <v>3.9E-2</v>
      </c>
      <c r="CD3" s="10" t="s">
        <v>61</v>
      </c>
      <c r="CE3" s="10">
        <v>7.0000000000000007E-2</v>
      </c>
      <c r="CF3" s="10" t="s">
        <v>62</v>
      </c>
      <c r="CG3" s="10">
        <v>0.01</v>
      </c>
      <c r="CH3" s="10">
        <v>0.17</v>
      </c>
      <c r="CI3" s="11">
        <f>100*(I3/40.31)/(G3/0.89981/71.85+I3/40.31)</f>
        <v>49.620178985810163</v>
      </c>
      <c r="CJ3" s="10">
        <f>(F3/133.96)/(J3/56.08+K3/61.98+L3/94.2)</f>
        <v>0.48571597263293009</v>
      </c>
      <c r="CK3" s="10">
        <f t="shared" ref="CK3:CK19" si="13">L3/K3</f>
        <v>0.44262295081967218</v>
      </c>
      <c r="CL3" s="4">
        <f t="shared" ref="CL3:CL19" si="14">K3+L3</f>
        <v>3.52</v>
      </c>
      <c r="CM3" s="4">
        <f>AX3/AY3</f>
        <v>10.668896321070235</v>
      </c>
      <c r="CN3" s="4">
        <f>BT3/AY3</f>
        <v>2.4749163879598663</v>
      </c>
      <c r="CO3" s="4">
        <f>BR3/BS3</f>
        <v>20</v>
      </c>
      <c r="CP3" s="4">
        <f>(BA3/0.237)/(BM3/0.161)</f>
        <v>3.0781909282700419</v>
      </c>
      <c r="CQ3" s="4">
        <f>BA3/BM3</f>
        <v>4.53125</v>
      </c>
      <c r="CR3" s="10">
        <f>BI3/BM3</f>
        <v>1.6968749999999999</v>
      </c>
      <c r="CS3" s="12">
        <f>(BF3/0.0563)/(((BE3/0.148)*(BG3/0.199))^(1/2))</f>
        <v>0.56162039086430304</v>
      </c>
      <c r="CT3" s="4">
        <f>AP3/AO3</f>
        <v>6.40625</v>
      </c>
      <c r="CU3" s="37">
        <f>(26400*D3/100-4800)/(12.4*D3/100-LN(M3/100)-3.97)-273.15</f>
        <v>668.30962520328478</v>
      </c>
      <c r="CV3" s="67">
        <f t="shared" ref="CV3:CV19" si="15">(26400*R3/100-4800)/(12.4*R3/100-LN(AA3/100)-3.97)-273.15</f>
        <v>682.40442134051318</v>
      </c>
      <c r="CW3" s="4">
        <f>D3*28.086/(28.086+15.999*2)+F3*26.982*2/(26.982*2+15.999*3)+G3*55.845*2/(55.845*2+15.999*3)+J3*40.078/(40.078+15.999)+I3*32.99*2/(22.99*2+15.999)+L3*39.098*2/(39.098*2+15.999)+O3*51.996*2/(51.996*2+15.999*3)+E3*47.867/(47.867+15.999*2)+H3*54.938/(54.938+15.999)+M3*30.974*2/(30.974*2+15.999*5)+P3*87.62/(87.62+15.999)+N3*137.328/(137.328+15.999)</f>
        <v>55.787916068776049</v>
      </c>
      <c r="CX3" s="4">
        <f>(K3*22.99*2/(22.99*2+15.999)+L3*39.098*2/(39.098*2+15.999)+2*J3*40.078/(40.078+15.999))/((F3*2*26.982/(26.982*2+15.999*3))*(D3*28.086/(28.086+15.999*2)))*CW3</f>
        <v>5.1812929243129311</v>
      </c>
      <c r="CY3" s="11">
        <f>12900/(3.8+0.85*(CX3-1)+LN(496000/BT3))-273.15</f>
        <v>524.90175901782391</v>
      </c>
      <c r="CZ3" s="11">
        <f>10108/(1.48+1.16*(CX3-1)+LN(496000/BT3))-273.15</f>
        <v>394.46044888409995</v>
      </c>
    </row>
    <row r="4" spans="1:104" ht="14" customHeight="1">
      <c r="A4" s="3" t="s">
        <v>212</v>
      </c>
      <c r="B4" s="3" t="s">
        <v>92</v>
      </c>
      <c r="C4" s="3" t="s">
        <v>89</v>
      </c>
      <c r="D4" s="4">
        <v>76.400000000000006</v>
      </c>
      <c r="E4" s="9">
        <v>0.34</v>
      </c>
      <c r="F4" s="4">
        <v>12.85</v>
      </c>
      <c r="G4" s="10">
        <v>2.06</v>
      </c>
      <c r="H4" s="9">
        <v>0.02</v>
      </c>
      <c r="I4" s="9">
        <v>0.59</v>
      </c>
      <c r="J4" s="10">
        <v>1.98</v>
      </c>
      <c r="K4" s="10">
        <v>5.0999999999999996</v>
      </c>
      <c r="L4" s="10">
        <v>0.54</v>
      </c>
      <c r="M4" s="9">
        <v>0.05</v>
      </c>
      <c r="N4" s="9">
        <v>0.02</v>
      </c>
      <c r="O4" s="35">
        <v>5.0000000000000001E-3</v>
      </c>
      <c r="P4" s="10">
        <v>0.02</v>
      </c>
      <c r="Q4" s="10"/>
      <c r="R4" s="4">
        <f t="shared" si="0"/>
        <v>76.415283056611344</v>
      </c>
      <c r="S4" s="10">
        <f t="shared" si="1"/>
        <v>0.34517766497461927</v>
      </c>
      <c r="T4" s="4">
        <f t="shared" si="2"/>
        <v>12.852570514102823</v>
      </c>
      <c r="U4" s="4">
        <f t="shared" si="3"/>
        <v>2.0604120824164833</v>
      </c>
      <c r="V4" s="10">
        <f t="shared" si="4"/>
        <v>2.0004000800160033E-2</v>
      </c>
      <c r="W4" s="10">
        <f t="shared" si="5"/>
        <v>0.59011802360472099</v>
      </c>
      <c r="X4" s="10">
        <f t="shared" si="6"/>
        <v>1.9803960792158433</v>
      </c>
      <c r="Y4" s="10">
        <f t="shared" si="7"/>
        <v>5.1010202040408084</v>
      </c>
      <c r="Z4" s="10">
        <f t="shared" si="8"/>
        <v>0.54010802160432092</v>
      </c>
      <c r="AA4" s="10">
        <f t="shared" si="9"/>
        <v>5.0010002000400088E-2</v>
      </c>
      <c r="AB4" s="10">
        <f t="shared" si="10"/>
        <v>2.0004000800160033E-2</v>
      </c>
      <c r="AC4" s="10">
        <f t="shared" si="11"/>
        <v>5.0010002000400082E-3</v>
      </c>
      <c r="AD4" s="10">
        <f t="shared" si="12"/>
        <v>2.0004000800160033E-2</v>
      </c>
      <c r="AE4" s="10"/>
      <c r="AF4" s="10">
        <v>0.01</v>
      </c>
      <c r="AG4" s="9">
        <v>0.01</v>
      </c>
      <c r="AH4" s="10">
        <v>0.98</v>
      </c>
      <c r="AI4" s="4">
        <v>100.96</v>
      </c>
      <c r="AJ4" s="11">
        <v>4482.8025477707006</v>
      </c>
      <c r="AK4" s="11">
        <v>12346.2781874867</v>
      </c>
      <c r="AL4" s="11">
        <v>218.1907848386642</v>
      </c>
      <c r="AM4" s="11">
        <v>174</v>
      </c>
      <c r="AN4" s="9">
        <v>10</v>
      </c>
      <c r="AO4" s="9">
        <v>5</v>
      </c>
      <c r="AP4" s="9">
        <v>17</v>
      </c>
      <c r="AQ4" s="9">
        <v>40</v>
      </c>
      <c r="AR4" s="9">
        <v>1</v>
      </c>
      <c r="AS4" s="9">
        <v>4</v>
      </c>
      <c r="AT4" s="9">
        <v>9</v>
      </c>
      <c r="AU4" s="9">
        <v>15</v>
      </c>
      <c r="AV4" s="4">
        <v>18.100000000000001</v>
      </c>
      <c r="AW4" s="9">
        <v>15.2</v>
      </c>
      <c r="AX4" s="9">
        <v>167</v>
      </c>
      <c r="AY4" s="9">
        <v>37.700000000000003</v>
      </c>
      <c r="AZ4" s="9">
        <v>0.16</v>
      </c>
      <c r="BA4" s="4">
        <v>13</v>
      </c>
      <c r="BB4" s="9">
        <v>31.3</v>
      </c>
      <c r="BC4" s="9">
        <v>4.33</v>
      </c>
      <c r="BD4" s="9">
        <v>17.600000000000001</v>
      </c>
      <c r="BE4" s="9">
        <v>4.78</v>
      </c>
      <c r="BF4" s="9">
        <v>0.96</v>
      </c>
      <c r="BG4" s="9">
        <v>6.35</v>
      </c>
      <c r="BH4" s="9">
        <v>1.05</v>
      </c>
      <c r="BI4" s="9">
        <v>6.18</v>
      </c>
      <c r="BJ4" s="9">
        <v>1.38</v>
      </c>
      <c r="BK4" s="9">
        <v>4.17</v>
      </c>
      <c r="BL4" s="9">
        <v>0.62</v>
      </c>
      <c r="BM4" s="9">
        <v>3.88</v>
      </c>
      <c r="BN4" s="9">
        <v>0.59</v>
      </c>
      <c r="BO4" s="9" t="s">
        <v>84</v>
      </c>
      <c r="BP4" s="9">
        <v>8.69</v>
      </c>
      <c r="BQ4" s="9">
        <v>1.33</v>
      </c>
      <c r="BR4" s="4">
        <v>10</v>
      </c>
      <c r="BS4" s="10">
        <v>0.9</v>
      </c>
      <c r="BT4" s="9">
        <v>346</v>
      </c>
      <c r="BU4" s="4">
        <v>9.6</v>
      </c>
      <c r="BV4" s="9" t="s">
        <v>58</v>
      </c>
      <c r="BW4" s="9">
        <v>2</v>
      </c>
      <c r="BX4" s="9">
        <v>1</v>
      </c>
      <c r="BY4" s="9" t="s">
        <v>59</v>
      </c>
      <c r="BZ4" s="9">
        <v>2.2000000000000002</v>
      </c>
      <c r="CA4" s="9">
        <v>0.04</v>
      </c>
      <c r="CB4" s="9" t="s">
        <v>60</v>
      </c>
      <c r="CC4" s="12">
        <v>1.7999999999999999E-2</v>
      </c>
      <c r="CD4" s="9" t="s">
        <v>61</v>
      </c>
      <c r="CE4" s="9">
        <v>0.06</v>
      </c>
      <c r="CF4" s="9" t="s">
        <v>62</v>
      </c>
      <c r="CG4" s="9">
        <v>0.01</v>
      </c>
      <c r="CH4" s="9" t="s">
        <v>64</v>
      </c>
      <c r="CI4" s="11">
        <v>31.476633250442397</v>
      </c>
      <c r="CJ4" s="10">
        <v>0.77782357512736555</v>
      </c>
      <c r="CK4" s="10">
        <f t="shared" si="13"/>
        <v>0.10588235294117648</v>
      </c>
      <c r="CL4" s="4">
        <f t="shared" si="14"/>
        <v>5.64</v>
      </c>
      <c r="CM4" s="4">
        <f t="shared" ref="CM4:CM19" si="16">AX4/AY4</f>
        <v>4.4297082228116711</v>
      </c>
      <c r="CN4" s="4">
        <f t="shared" ref="CN4:CN19" si="17">BT4/AY4</f>
        <v>9.1777188328912462</v>
      </c>
      <c r="CO4" s="4">
        <f t="shared" ref="CO4:CO19" si="18">BR4/BS4</f>
        <v>11.111111111111111</v>
      </c>
      <c r="CP4" s="4">
        <f t="shared" ref="CP4:CP19" si="19">(BA4/0.237)/(BM4/0.161)</f>
        <v>2.2760885640958723</v>
      </c>
      <c r="CQ4" s="4">
        <f t="shared" ref="CQ4:CQ19" si="20">BA4/BM4</f>
        <v>3.3505154639175259</v>
      </c>
      <c r="CR4" s="10">
        <f t="shared" ref="CR4:CR19" si="21">BI4/BM4</f>
        <v>1.5927835051546391</v>
      </c>
      <c r="CS4" s="12">
        <f t="shared" ref="CS4:CS19" si="22">(BF4/0.0563)/(((BE4/0.148)*(BG4/0.199))^(1/2))</f>
        <v>0.53115273629560733</v>
      </c>
      <c r="CT4" s="4">
        <v>3.4</v>
      </c>
      <c r="CU4" s="11">
        <v>899.69880120027631</v>
      </c>
      <c r="CV4" s="40">
        <f t="shared" si="15"/>
        <v>899.85496057038961</v>
      </c>
      <c r="CW4" s="4">
        <v>50.094747351065415</v>
      </c>
      <c r="CX4" s="4">
        <v>1.4565363779106468</v>
      </c>
      <c r="CY4" s="11">
        <v>852.90256271869168</v>
      </c>
      <c r="CZ4" s="11">
        <v>816.37062971704734</v>
      </c>
    </row>
    <row r="5" spans="1:104" ht="14" customHeight="1">
      <c r="A5" s="3" t="s">
        <v>98</v>
      </c>
      <c r="B5" s="3" t="s">
        <v>93</v>
      </c>
      <c r="C5" s="3" t="s">
        <v>88</v>
      </c>
      <c r="D5" s="4">
        <v>76.099999999999994</v>
      </c>
      <c r="E5" s="9">
        <v>0.31</v>
      </c>
      <c r="F5" s="4">
        <v>11.75</v>
      </c>
      <c r="G5" s="10">
        <v>4.2300000000000004</v>
      </c>
      <c r="H5" s="9">
        <v>0.06</v>
      </c>
      <c r="I5" s="9">
        <v>0.49</v>
      </c>
      <c r="J5" s="10">
        <v>2.31</v>
      </c>
      <c r="K5" s="10">
        <v>4.3</v>
      </c>
      <c r="L5" s="10">
        <v>0.6</v>
      </c>
      <c r="M5" s="9">
        <v>7.0000000000000007E-2</v>
      </c>
      <c r="N5" s="9">
        <v>0.02</v>
      </c>
      <c r="O5" s="35">
        <v>2E-3</v>
      </c>
      <c r="P5" s="10">
        <v>0.01</v>
      </c>
      <c r="Q5" s="10"/>
      <c r="R5" s="4">
        <f t="shared" si="0"/>
        <v>75.910224438902731</v>
      </c>
      <c r="S5" s="10">
        <f t="shared" si="1"/>
        <v>0.31472081218274112</v>
      </c>
      <c r="T5" s="4">
        <f t="shared" si="2"/>
        <v>11.720698254364089</v>
      </c>
      <c r="U5" s="4">
        <f t="shared" si="3"/>
        <v>4.2194513715710729</v>
      </c>
      <c r="V5" s="10">
        <f t="shared" si="4"/>
        <v>5.9850374064837904E-2</v>
      </c>
      <c r="W5" s="10">
        <f t="shared" si="5"/>
        <v>0.48877805486284287</v>
      </c>
      <c r="X5" s="10">
        <f t="shared" si="6"/>
        <v>2.3042394014962593</v>
      </c>
      <c r="Y5" s="10">
        <f t="shared" si="7"/>
        <v>4.2892768079800501</v>
      </c>
      <c r="Z5" s="10">
        <f t="shared" si="8"/>
        <v>0.59850374064837908</v>
      </c>
      <c r="AA5" s="10">
        <f t="shared" si="9"/>
        <v>6.9825436408977565E-2</v>
      </c>
      <c r="AB5" s="10">
        <f t="shared" si="10"/>
        <v>1.9950124688279301E-2</v>
      </c>
      <c r="AC5" s="10">
        <f t="shared" si="11"/>
        <v>1.9950124688279305E-3</v>
      </c>
      <c r="AD5" s="10">
        <f t="shared" si="12"/>
        <v>9.9750623441396506E-3</v>
      </c>
      <c r="AE5" s="10"/>
      <c r="AF5" s="10">
        <v>0.01</v>
      </c>
      <c r="AG5" s="9">
        <v>0.01</v>
      </c>
      <c r="AH5" s="10">
        <v>0.98</v>
      </c>
      <c r="AI5" s="4">
        <v>101.23</v>
      </c>
      <c r="AJ5" s="11">
        <f t="shared" ref="AJ5:AJ19" si="23">L5*39.1*2/(39.1*2+16)*10000</f>
        <v>4980.8917197452229</v>
      </c>
      <c r="AK5" s="11">
        <f t="shared" ref="AK5:AK19" si="24">E5*47.867/(47.867+32)*10000</f>
        <v>1857.9350670489689</v>
      </c>
      <c r="AL5" s="11">
        <f t="shared" ref="AL5:AL19" si="25">M5*2*30.97/(2*30.97+16*5)*10000</f>
        <v>305.46709877412991</v>
      </c>
      <c r="AM5" s="11">
        <v>201</v>
      </c>
      <c r="AN5" s="9">
        <v>10</v>
      </c>
      <c r="AO5" s="9">
        <v>9</v>
      </c>
      <c r="AP5" s="9">
        <v>19</v>
      </c>
      <c r="AQ5" s="9">
        <v>20</v>
      </c>
      <c r="AR5" s="9">
        <v>2</v>
      </c>
      <c r="AS5" s="9">
        <v>1</v>
      </c>
      <c r="AT5" s="9">
        <v>10</v>
      </c>
      <c r="AU5" s="9">
        <v>40</v>
      </c>
      <c r="AV5" s="4">
        <v>17.600000000000001</v>
      </c>
      <c r="AW5" s="9">
        <v>19.2</v>
      </c>
      <c r="AX5" s="9">
        <v>109.5</v>
      </c>
      <c r="AY5" s="9">
        <v>42.5</v>
      </c>
      <c r="AZ5" s="10">
        <v>0.15</v>
      </c>
      <c r="BA5" s="4">
        <v>13.6</v>
      </c>
      <c r="BB5" s="4">
        <v>33.1</v>
      </c>
      <c r="BC5" s="10">
        <v>4.58</v>
      </c>
      <c r="BD5" s="4">
        <v>20.7</v>
      </c>
      <c r="BE5" s="10">
        <v>5.91</v>
      </c>
      <c r="BF5" s="10">
        <v>1.7</v>
      </c>
      <c r="BG5" s="10">
        <v>6.49</v>
      </c>
      <c r="BH5" s="10">
        <v>1.06</v>
      </c>
      <c r="BI5" s="10">
        <v>6.82</v>
      </c>
      <c r="BJ5" s="10">
        <v>1.53</v>
      </c>
      <c r="BK5" s="10">
        <v>4.45</v>
      </c>
      <c r="BL5" s="9">
        <v>0.79</v>
      </c>
      <c r="BM5" s="10">
        <v>5</v>
      </c>
      <c r="BN5" s="10">
        <v>0.7</v>
      </c>
      <c r="BO5" s="9"/>
      <c r="BP5" s="10">
        <v>1.64</v>
      </c>
      <c r="BQ5" s="10">
        <v>0.41</v>
      </c>
      <c r="BR5" s="4">
        <v>9.6</v>
      </c>
      <c r="BS5" s="10">
        <v>0.7</v>
      </c>
      <c r="BT5" s="9">
        <v>411</v>
      </c>
      <c r="BU5" s="4">
        <v>10</v>
      </c>
      <c r="BV5" s="9" t="s">
        <v>58</v>
      </c>
      <c r="BW5" s="9">
        <v>2</v>
      </c>
      <c r="BX5" s="9">
        <v>1</v>
      </c>
      <c r="BY5" s="9" t="s">
        <v>59</v>
      </c>
      <c r="BZ5" s="9">
        <v>7.2</v>
      </c>
      <c r="CA5" s="9">
        <v>0.01</v>
      </c>
      <c r="CB5" s="9" t="s">
        <v>60</v>
      </c>
      <c r="CC5" s="12">
        <v>1.7999999999999999E-2</v>
      </c>
      <c r="CD5" s="9" t="s">
        <v>61</v>
      </c>
      <c r="CE5" s="9">
        <v>0.05</v>
      </c>
      <c r="CF5" s="9" t="s">
        <v>62</v>
      </c>
      <c r="CG5" s="9" t="s">
        <v>63</v>
      </c>
      <c r="CH5" s="9" t="s">
        <v>64</v>
      </c>
      <c r="CI5" s="11">
        <f t="shared" ref="CI5:CI19" si="26">100*(I5/40.31)/(G5/0.89981/71.85+I5/40.31)</f>
        <v>15.667979906242831</v>
      </c>
      <c r="CJ5" s="10">
        <f t="shared" ref="CJ5:CJ19" si="27">(F5/133.96)/(J5/56.08+K5/61.98+L5/94.2)</f>
        <v>0.75008038075462113</v>
      </c>
      <c r="CK5" s="10">
        <f t="shared" si="13"/>
        <v>0.13953488372093023</v>
      </c>
      <c r="CL5" s="4">
        <f t="shared" si="14"/>
        <v>4.8999999999999995</v>
      </c>
      <c r="CM5" s="4">
        <f t="shared" si="16"/>
        <v>2.5764705882352943</v>
      </c>
      <c r="CN5" s="4">
        <f t="shared" si="17"/>
        <v>9.670588235294117</v>
      </c>
      <c r="CO5" s="4">
        <f t="shared" si="18"/>
        <v>13.714285714285715</v>
      </c>
      <c r="CP5" s="4">
        <f t="shared" si="19"/>
        <v>1.8477637130801687</v>
      </c>
      <c r="CQ5" s="4">
        <f t="shared" si="20"/>
        <v>2.7199999999999998</v>
      </c>
      <c r="CR5" s="10">
        <f t="shared" si="21"/>
        <v>1.3640000000000001</v>
      </c>
      <c r="CS5" s="12">
        <f t="shared" si="22"/>
        <v>0.83672324366009976</v>
      </c>
      <c r="CT5" s="4">
        <f>AP5/AO5</f>
        <v>2.1111111111111112</v>
      </c>
      <c r="CU5" s="38">
        <f t="shared" ref="CU5:CU19" si="28">(26400*D5/100-4800)/(12.4*D5/100-LN(M5/100)-3.97)-273.15</f>
        <v>927.90285611859201</v>
      </c>
      <c r="CV5" s="40">
        <f t="shared" si="15"/>
        <v>925.94875269887154</v>
      </c>
      <c r="CW5" s="4">
        <f t="shared" ref="CW5:CW19" si="29">D5*28.086/(28.086+15.999*2)+F5*26.982*2/(26.982*2+15.999*3)+G5*55.845*2/(55.845*2+15.999*3)+J5*40.078/(40.078+15.999)+I5*32.99*2/(22.99*2+15.999)+L5*39.098*2/(39.098*2+15.999)+O5*51.996*2/(51.996*2+15.999*3)+E5*47.867/(47.867+15.999*2)+H5*54.938/(54.938+15.999)+M5*30.974*2/(30.974*2+15.999*5)+P5*87.62/(87.62+15.999)+N5*137.328/(137.328+15.999)</f>
        <v>47.711241889500883</v>
      </c>
      <c r="CX5" s="4">
        <f t="shared" ref="CX5:CX19" si="30">(K5*22.99*2/(22.99*2+15.999)+L5*39.098*2/(39.098*2+15.999)+2*J5*40.078/(40.078+15.999))/((F5*2*26.982/(26.982*2+15.999*3))*(D5*28.086/(28.086+15.999*2)))*CW5</f>
        <v>1.5075590568668156</v>
      </c>
      <c r="CY5" s="11">
        <f t="shared" ref="CY5:CY19" si="31">12900/(3.8+0.85*(CX5-1)+LN(496000/BT5))-273.15</f>
        <v>865.7053147979492</v>
      </c>
      <c r="CZ5" s="11">
        <f t="shared" ref="CZ5:CZ19" si="32">10108/(1.48+1.16*(CX5-1)+LN(496000/BT5))-273.15</f>
        <v>829.80082480593626</v>
      </c>
    </row>
    <row r="6" spans="1:104" ht="14" customHeight="1">
      <c r="A6" s="3" t="s">
        <v>99</v>
      </c>
      <c r="B6" s="3" t="s">
        <v>93</v>
      </c>
      <c r="C6" s="3" t="s">
        <v>88</v>
      </c>
      <c r="D6" s="4">
        <v>77.599999999999994</v>
      </c>
      <c r="E6" s="9">
        <v>0.19</v>
      </c>
      <c r="F6" s="4">
        <v>11.1</v>
      </c>
      <c r="G6" s="10">
        <v>2.2999999999999998</v>
      </c>
      <c r="H6" s="9">
        <v>0.03</v>
      </c>
      <c r="I6" s="9">
        <v>0.26</v>
      </c>
      <c r="J6" s="10">
        <v>1.49</v>
      </c>
      <c r="K6" s="10">
        <v>4.0999999999999996</v>
      </c>
      <c r="L6" s="10">
        <v>1.34</v>
      </c>
      <c r="M6" s="9">
        <v>0.03</v>
      </c>
      <c r="N6" s="9">
        <v>0.05</v>
      </c>
      <c r="O6" s="35">
        <v>2E-3</v>
      </c>
      <c r="P6" s="10">
        <v>0.01</v>
      </c>
      <c r="Q6" s="10"/>
      <c r="R6" s="4">
        <f t="shared" si="0"/>
        <v>78.781725888324857</v>
      </c>
      <c r="S6" s="10">
        <f t="shared" si="1"/>
        <v>0.19289340101522842</v>
      </c>
      <c r="T6" s="4">
        <f t="shared" si="2"/>
        <v>11.269035532994923</v>
      </c>
      <c r="U6" s="4">
        <f t="shared" si="3"/>
        <v>2.3350253807106598</v>
      </c>
      <c r="V6" s="10">
        <f t="shared" si="4"/>
        <v>3.0456852791878174E-2</v>
      </c>
      <c r="W6" s="10">
        <f t="shared" si="5"/>
        <v>0.26395939086294418</v>
      </c>
      <c r="X6" s="10">
        <f t="shared" si="6"/>
        <v>1.5126903553299493</v>
      </c>
      <c r="Y6" s="10">
        <f t="shared" si="7"/>
        <v>4.1624365482233499</v>
      </c>
      <c r="Z6" s="10">
        <f t="shared" si="8"/>
        <v>1.3604060913705585</v>
      </c>
      <c r="AA6" s="10">
        <f t="shared" si="9"/>
        <v>3.0456852791878174E-2</v>
      </c>
      <c r="AB6" s="10">
        <f t="shared" si="10"/>
        <v>5.0761421319796954E-2</v>
      </c>
      <c r="AC6" s="10">
        <f t="shared" si="11"/>
        <v>2.0304568527918783E-3</v>
      </c>
      <c r="AD6" s="10">
        <f t="shared" si="12"/>
        <v>1.015228426395939E-2</v>
      </c>
      <c r="AE6" s="10"/>
      <c r="AF6" s="10">
        <v>0.01</v>
      </c>
      <c r="AG6" s="9" t="s">
        <v>63</v>
      </c>
      <c r="AH6" s="10">
        <v>0.82</v>
      </c>
      <c r="AI6" s="4">
        <v>99.32</v>
      </c>
      <c r="AJ6" s="11">
        <f t="shared" si="23"/>
        <v>11123.991507430999</v>
      </c>
      <c r="AK6" s="11">
        <f t="shared" si="24"/>
        <v>1138.7343959332391</v>
      </c>
      <c r="AL6" s="11">
        <f t="shared" si="25"/>
        <v>130.91447090319852</v>
      </c>
      <c r="AM6" s="11">
        <v>468</v>
      </c>
      <c r="AN6" s="9">
        <v>10</v>
      </c>
      <c r="AO6" s="9">
        <v>4</v>
      </c>
      <c r="AP6" s="9">
        <v>9</v>
      </c>
      <c r="AQ6" s="9">
        <v>10</v>
      </c>
      <c r="AR6" s="9">
        <v>2</v>
      </c>
      <c r="AS6" s="9" t="s">
        <v>65</v>
      </c>
      <c r="AT6" s="9">
        <v>6</v>
      </c>
      <c r="AU6" s="9">
        <v>17</v>
      </c>
      <c r="AV6" s="4">
        <v>15.5</v>
      </c>
      <c r="AW6" s="9">
        <v>20.5</v>
      </c>
      <c r="AX6" s="9">
        <v>61.6</v>
      </c>
      <c r="AY6" s="9">
        <v>46.4</v>
      </c>
      <c r="AZ6" s="10">
        <v>0.12</v>
      </c>
      <c r="BA6" s="4">
        <v>23</v>
      </c>
      <c r="BB6" s="4">
        <v>64.2</v>
      </c>
      <c r="BC6" s="10">
        <v>6.66</v>
      </c>
      <c r="BD6" s="4">
        <v>27.4</v>
      </c>
      <c r="BE6" s="10">
        <v>5.76</v>
      </c>
      <c r="BF6" s="10">
        <v>1.06</v>
      </c>
      <c r="BG6" s="10">
        <v>5.84</v>
      </c>
      <c r="BH6" s="10">
        <v>1.05</v>
      </c>
      <c r="BI6" s="10">
        <v>6.65</v>
      </c>
      <c r="BJ6" s="10">
        <v>1.64</v>
      </c>
      <c r="BK6" s="10">
        <v>5.69</v>
      </c>
      <c r="BL6" s="9">
        <v>0.91</v>
      </c>
      <c r="BM6" s="10">
        <v>6.54</v>
      </c>
      <c r="BN6" s="10">
        <v>1.03</v>
      </c>
      <c r="BO6" s="9"/>
      <c r="BP6" s="10">
        <v>5.39</v>
      </c>
      <c r="BQ6" s="10">
        <v>1.05</v>
      </c>
      <c r="BR6" s="4">
        <v>11.2</v>
      </c>
      <c r="BS6" s="10">
        <v>1.1000000000000001</v>
      </c>
      <c r="BT6" s="9">
        <v>167</v>
      </c>
      <c r="BU6" s="4">
        <v>5.9</v>
      </c>
      <c r="BV6" s="9" t="s">
        <v>58</v>
      </c>
      <c r="BW6" s="9">
        <v>1</v>
      </c>
      <c r="BX6" s="9" t="s">
        <v>65</v>
      </c>
      <c r="BY6" s="9" t="s">
        <v>59</v>
      </c>
      <c r="BZ6" s="9">
        <v>1.8</v>
      </c>
      <c r="CA6" s="9">
        <v>0.01</v>
      </c>
      <c r="CB6" s="9" t="s">
        <v>60</v>
      </c>
      <c r="CC6" s="12">
        <v>7.0000000000000001E-3</v>
      </c>
      <c r="CD6" s="9" t="s">
        <v>61</v>
      </c>
      <c r="CE6" s="9">
        <v>0.05</v>
      </c>
      <c r="CF6" s="9" t="s">
        <v>62</v>
      </c>
      <c r="CG6" s="9" t="s">
        <v>63</v>
      </c>
      <c r="CH6" s="9" t="s">
        <v>64</v>
      </c>
      <c r="CI6" s="11">
        <f t="shared" si="26"/>
        <v>15.347872389861962</v>
      </c>
      <c r="CJ6" s="10">
        <f t="shared" si="27"/>
        <v>0.77479879147167163</v>
      </c>
      <c r="CK6" s="10">
        <f t="shared" si="13"/>
        <v>0.326829268292683</v>
      </c>
      <c r="CL6" s="4">
        <f t="shared" si="14"/>
        <v>5.4399999999999995</v>
      </c>
      <c r="CM6" s="4">
        <f t="shared" si="16"/>
        <v>1.3275862068965518</v>
      </c>
      <c r="CN6" s="4">
        <f t="shared" si="17"/>
        <v>3.5991379310344827</v>
      </c>
      <c r="CO6" s="4">
        <f t="shared" si="18"/>
        <v>10.18181818181818</v>
      </c>
      <c r="CP6" s="4">
        <f t="shared" si="19"/>
        <v>2.3890630846849641</v>
      </c>
      <c r="CQ6" s="4">
        <f t="shared" si="20"/>
        <v>3.5168195718654434</v>
      </c>
      <c r="CR6" s="10">
        <f t="shared" si="21"/>
        <v>1.0168195718654436</v>
      </c>
      <c r="CS6" s="12">
        <f t="shared" si="22"/>
        <v>0.55710518573602297</v>
      </c>
      <c r="CT6" s="4">
        <f>AP6/AO6</f>
        <v>2.25</v>
      </c>
      <c r="CU6" s="38">
        <f t="shared" si="28"/>
        <v>866.50809567139174</v>
      </c>
      <c r="CV6" s="40">
        <f t="shared" si="15"/>
        <v>878.18099536005673</v>
      </c>
      <c r="CW6" s="4">
        <f t="shared" si="29"/>
        <v>46.416158977404869</v>
      </c>
      <c r="CX6" s="4">
        <f t="shared" si="30"/>
        <v>1.368700371691512</v>
      </c>
      <c r="CY6" s="11">
        <f t="shared" si="31"/>
        <v>792.10885498444497</v>
      </c>
      <c r="CZ6" s="11">
        <f t="shared" si="32"/>
        <v>747.44466491548189</v>
      </c>
    </row>
    <row r="7" spans="1:104" ht="14" customHeight="1">
      <c r="A7" s="3" t="s">
        <v>100</v>
      </c>
      <c r="B7" s="3" t="s">
        <v>93</v>
      </c>
      <c r="C7" s="3" t="s">
        <v>56</v>
      </c>
      <c r="D7" s="4">
        <v>74.7</v>
      </c>
      <c r="E7" s="9">
        <v>0.31</v>
      </c>
      <c r="F7" s="4">
        <v>13.3</v>
      </c>
      <c r="G7" s="10">
        <v>3.41</v>
      </c>
      <c r="H7" s="9">
        <v>0.03</v>
      </c>
      <c r="I7" s="9">
        <v>0.72</v>
      </c>
      <c r="J7" s="10">
        <v>0.85</v>
      </c>
      <c r="K7" s="10">
        <v>5.45</v>
      </c>
      <c r="L7" s="10">
        <v>0.6</v>
      </c>
      <c r="M7" s="9">
        <v>0.04</v>
      </c>
      <c r="N7" s="9">
        <v>0.03</v>
      </c>
      <c r="O7" s="35">
        <v>3.0000000000000001E-3</v>
      </c>
      <c r="P7" s="10">
        <v>0</v>
      </c>
      <c r="Q7" s="10"/>
      <c r="R7" s="4">
        <f t="shared" si="0"/>
        <v>75.120675784392603</v>
      </c>
      <c r="S7" s="10">
        <f t="shared" si="1"/>
        <v>0.31472081218274112</v>
      </c>
      <c r="T7" s="4">
        <f t="shared" si="2"/>
        <v>13.37489943684634</v>
      </c>
      <c r="U7" s="4">
        <f t="shared" si="3"/>
        <v>3.4292035398230087</v>
      </c>
      <c r="V7" s="10">
        <f t="shared" si="4"/>
        <v>3.016894609814964E-2</v>
      </c>
      <c r="W7" s="10">
        <f t="shared" si="5"/>
        <v>0.72405470635559133</v>
      </c>
      <c r="X7" s="10">
        <f t="shared" si="6"/>
        <v>0.85478680611423974</v>
      </c>
      <c r="Y7" s="10">
        <f t="shared" si="7"/>
        <v>5.4806918744971842</v>
      </c>
      <c r="Z7" s="10">
        <f t="shared" si="8"/>
        <v>0.60337892196299281</v>
      </c>
      <c r="AA7" s="10">
        <f t="shared" si="9"/>
        <v>4.0225261464199517E-2</v>
      </c>
      <c r="AB7" s="10">
        <f t="shared" si="10"/>
        <v>3.016894609814964E-2</v>
      </c>
      <c r="AC7" s="10">
        <f t="shared" si="11"/>
        <v>3.0168946098149637E-3</v>
      </c>
      <c r="AD7" s="10">
        <f t="shared" si="12"/>
        <v>0</v>
      </c>
      <c r="AE7" s="10"/>
      <c r="AF7" s="10">
        <v>0.1</v>
      </c>
      <c r="AG7" s="9" t="s">
        <v>63</v>
      </c>
      <c r="AH7" s="10">
        <v>1.34</v>
      </c>
      <c r="AI7" s="4">
        <v>100.78</v>
      </c>
      <c r="AJ7" s="11">
        <f t="shared" si="23"/>
        <v>4980.8917197452229</v>
      </c>
      <c r="AK7" s="11">
        <f t="shared" si="24"/>
        <v>1857.9350670489689</v>
      </c>
      <c r="AL7" s="11">
        <f t="shared" si="25"/>
        <v>174.55262787093136</v>
      </c>
      <c r="AM7" s="11">
        <v>208</v>
      </c>
      <c r="AN7" s="9">
        <v>10</v>
      </c>
      <c r="AO7" s="9">
        <v>8</v>
      </c>
      <c r="AP7" s="9">
        <v>18</v>
      </c>
      <c r="AQ7" s="9">
        <v>20</v>
      </c>
      <c r="AR7" s="9">
        <v>3</v>
      </c>
      <c r="AS7" s="9">
        <v>2</v>
      </c>
      <c r="AT7" s="9">
        <v>4</v>
      </c>
      <c r="AU7" s="9">
        <v>25</v>
      </c>
      <c r="AV7" s="4">
        <v>15.2</v>
      </c>
      <c r="AW7" s="9">
        <v>12.9</v>
      </c>
      <c r="AX7" s="9">
        <v>60.1</v>
      </c>
      <c r="AY7" s="9">
        <v>31.3</v>
      </c>
      <c r="AZ7" s="10">
        <v>0.18</v>
      </c>
      <c r="BA7" s="4">
        <v>15.1</v>
      </c>
      <c r="BB7" s="4">
        <v>32.6</v>
      </c>
      <c r="BC7" s="10">
        <v>4.17</v>
      </c>
      <c r="BD7" s="4">
        <v>17</v>
      </c>
      <c r="BE7" s="10">
        <v>3.84</v>
      </c>
      <c r="BF7" s="10">
        <v>0.56999999999999995</v>
      </c>
      <c r="BG7" s="10">
        <v>4.07</v>
      </c>
      <c r="BH7" s="10">
        <v>0.73</v>
      </c>
      <c r="BI7" s="10">
        <v>4.6500000000000004</v>
      </c>
      <c r="BJ7" s="10">
        <v>1.1100000000000001</v>
      </c>
      <c r="BK7" s="10">
        <v>3.26</v>
      </c>
      <c r="BL7" s="9">
        <v>0.54</v>
      </c>
      <c r="BM7" s="10">
        <v>3.57</v>
      </c>
      <c r="BN7" s="10">
        <v>0.54</v>
      </c>
      <c r="BO7" s="9"/>
      <c r="BP7" s="10">
        <v>3.14</v>
      </c>
      <c r="BQ7" s="10">
        <v>0.79</v>
      </c>
      <c r="BR7" s="4">
        <v>7.6</v>
      </c>
      <c r="BS7" s="10">
        <v>0.7</v>
      </c>
      <c r="BT7" s="9">
        <v>196</v>
      </c>
      <c r="BU7" s="4">
        <v>5.2</v>
      </c>
      <c r="BV7" s="9" t="s">
        <v>58</v>
      </c>
      <c r="BW7" s="9">
        <v>3</v>
      </c>
      <c r="BX7" s="9">
        <v>1</v>
      </c>
      <c r="BY7" s="9" t="s">
        <v>59</v>
      </c>
      <c r="BZ7" s="9">
        <v>2.2999999999999998</v>
      </c>
      <c r="CA7" s="9" t="s">
        <v>63</v>
      </c>
      <c r="CB7" s="9" t="s">
        <v>60</v>
      </c>
      <c r="CC7" s="12">
        <v>1.2E-2</v>
      </c>
      <c r="CD7" s="9" t="s">
        <v>61</v>
      </c>
      <c r="CE7" s="9">
        <v>0.05</v>
      </c>
      <c r="CF7" s="9" t="s">
        <v>62</v>
      </c>
      <c r="CG7" s="9" t="s">
        <v>63</v>
      </c>
      <c r="CH7" s="9" t="s">
        <v>64</v>
      </c>
      <c r="CI7" s="11">
        <f t="shared" si="26"/>
        <v>25.297519091224991</v>
      </c>
      <c r="CJ7" s="10">
        <f t="shared" si="27"/>
        <v>0.90704586207640747</v>
      </c>
      <c r="CK7" s="10">
        <f t="shared" si="13"/>
        <v>0.11009174311926605</v>
      </c>
      <c r="CL7" s="4">
        <f t="shared" si="14"/>
        <v>6.05</v>
      </c>
      <c r="CM7" s="4">
        <f t="shared" si="16"/>
        <v>1.9201277955271565</v>
      </c>
      <c r="CN7" s="4">
        <f t="shared" si="17"/>
        <v>6.2619808306709261</v>
      </c>
      <c r="CO7" s="4">
        <f t="shared" si="18"/>
        <v>10.857142857142858</v>
      </c>
      <c r="CP7" s="4">
        <f t="shared" si="19"/>
        <v>2.8733349880036405</v>
      </c>
      <c r="CQ7" s="4">
        <f t="shared" si="20"/>
        <v>4.2296918767507004</v>
      </c>
      <c r="CR7" s="10">
        <f t="shared" si="21"/>
        <v>1.3025210084033616</v>
      </c>
      <c r="CS7" s="12">
        <f t="shared" si="22"/>
        <v>0.43950218641903055</v>
      </c>
      <c r="CT7" s="4">
        <f>AP7/AO7</f>
        <v>2.25</v>
      </c>
      <c r="CU7" s="38">
        <f t="shared" si="28"/>
        <v>864.37955456293741</v>
      </c>
      <c r="CV7" s="40">
        <f t="shared" si="15"/>
        <v>868.79396429238352</v>
      </c>
      <c r="CW7" s="4">
        <f t="shared" si="29"/>
        <v>46.46988924251341</v>
      </c>
      <c r="CX7" s="4">
        <f t="shared" si="30"/>
        <v>1.0882699796862938</v>
      </c>
      <c r="CY7" s="11">
        <f t="shared" si="31"/>
        <v>828.35533665035666</v>
      </c>
      <c r="CZ7" s="11">
        <f t="shared" si="32"/>
        <v>800.04448383239344</v>
      </c>
    </row>
    <row r="8" spans="1:104" ht="14" customHeight="1">
      <c r="A8" s="3" t="s">
        <v>101</v>
      </c>
      <c r="B8" s="3" t="s">
        <v>93</v>
      </c>
      <c r="C8" s="3" t="s">
        <v>57</v>
      </c>
      <c r="D8" s="4">
        <v>68.400000000000006</v>
      </c>
      <c r="E8" s="9">
        <v>0.68</v>
      </c>
      <c r="F8" s="4">
        <v>14.25</v>
      </c>
      <c r="G8" s="10">
        <v>7.12</v>
      </c>
      <c r="H8" s="9">
        <v>7.0000000000000007E-2</v>
      </c>
      <c r="I8" s="9">
        <v>0.98</v>
      </c>
      <c r="J8" s="10">
        <v>3.12</v>
      </c>
      <c r="K8" s="10">
        <v>5.72</v>
      </c>
      <c r="L8" s="10">
        <v>0.59</v>
      </c>
      <c r="M8" s="9">
        <v>0.22</v>
      </c>
      <c r="N8" s="9">
        <v>0.02</v>
      </c>
      <c r="O8" s="35">
        <v>4.0000000000000001E-3</v>
      </c>
      <c r="P8" s="10">
        <v>0.01</v>
      </c>
      <c r="Q8" s="10"/>
      <c r="R8" s="4">
        <f t="shared" si="0"/>
        <v>67.602292943269418</v>
      </c>
      <c r="S8" s="10">
        <f t="shared" si="1"/>
        <v>0.69035532994923854</v>
      </c>
      <c r="T8" s="4">
        <f t="shared" si="2"/>
        <v>14.083811029847794</v>
      </c>
      <c r="U8" s="4">
        <f t="shared" si="3"/>
        <v>7.0369638268432491</v>
      </c>
      <c r="V8" s="10">
        <f t="shared" si="4"/>
        <v>6.9183633129076896E-2</v>
      </c>
      <c r="W8" s="10">
        <f t="shared" si="5"/>
        <v>0.96857086380707647</v>
      </c>
      <c r="X8" s="10">
        <f t="shared" si="6"/>
        <v>3.0836133623245701</v>
      </c>
      <c r="Y8" s="10">
        <f t="shared" si="7"/>
        <v>5.6532911642617112</v>
      </c>
      <c r="Z8" s="10">
        <f t="shared" si="8"/>
        <v>0.58311919351650521</v>
      </c>
      <c r="AA8" s="10">
        <f t="shared" si="9"/>
        <v>0.21743427554852737</v>
      </c>
      <c r="AB8" s="10">
        <f t="shared" si="10"/>
        <v>1.9766752322593395E-2</v>
      </c>
      <c r="AC8" s="10">
        <f t="shared" si="11"/>
        <v>3.9533504645186792E-3</v>
      </c>
      <c r="AD8" s="10">
        <f t="shared" si="12"/>
        <v>9.8833761612966975E-3</v>
      </c>
      <c r="AE8" s="10"/>
      <c r="AF8" s="10" t="s">
        <v>63</v>
      </c>
      <c r="AG8" s="9" t="s">
        <v>63</v>
      </c>
      <c r="AH8" s="10">
        <v>0.77</v>
      </c>
      <c r="AI8" s="4">
        <v>101.95</v>
      </c>
      <c r="AJ8" s="11">
        <f t="shared" si="23"/>
        <v>4897.8768577494693</v>
      </c>
      <c r="AK8" s="11">
        <f t="shared" si="24"/>
        <v>4075.4704696558028</v>
      </c>
      <c r="AL8" s="11">
        <f t="shared" si="25"/>
        <v>960.03945329012254</v>
      </c>
      <c r="AM8" s="11">
        <v>193.5</v>
      </c>
      <c r="AN8" s="9" t="s">
        <v>66</v>
      </c>
      <c r="AO8" s="9">
        <v>18</v>
      </c>
      <c r="AP8" s="9">
        <v>7</v>
      </c>
      <c r="AQ8" s="9">
        <v>30</v>
      </c>
      <c r="AR8" s="9">
        <v>6</v>
      </c>
      <c r="AS8" s="9" t="s">
        <v>65</v>
      </c>
      <c r="AT8" s="9">
        <v>3</v>
      </c>
      <c r="AU8" s="9">
        <v>18</v>
      </c>
      <c r="AV8" s="4">
        <v>21</v>
      </c>
      <c r="AW8" s="9">
        <v>11.5</v>
      </c>
      <c r="AX8" s="9">
        <v>135</v>
      </c>
      <c r="AY8" s="9">
        <v>46.3</v>
      </c>
      <c r="AZ8" s="10">
        <v>0.06</v>
      </c>
      <c r="BA8" s="4">
        <v>17.100000000000001</v>
      </c>
      <c r="BB8" s="4">
        <v>46.8</v>
      </c>
      <c r="BC8" s="10">
        <v>6.75</v>
      </c>
      <c r="BD8" s="4">
        <v>29.5</v>
      </c>
      <c r="BE8" s="10">
        <v>7.9</v>
      </c>
      <c r="BF8" s="10">
        <v>1.65</v>
      </c>
      <c r="BG8" s="10">
        <v>7.93</v>
      </c>
      <c r="BH8" s="10">
        <v>1.3</v>
      </c>
      <c r="BI8" s="10">
        <v>8.11</v>
      </c>
      <c r="BJ8" s="10">
        <v>1.8</v>
      </c>
      <c r="BK8" s="10">
        <v>5.17</v>
      </c>
      <c r="BL8" s="9">
        <v>0.75</v>
      </c>
      <c r="BM8" s="10">
        <v>4.79</v>
      </c>
      <c r="BN8" s="10">
        <v>0.72</v>
      </c>
      <c r="BO8" s="9"/>
      <c r="BP8" s="10">
        <v>2.38</v>
      </c>
      <c r="BQ8" s="10">
        <v>0.62</v>
      </c>
      <c r="BR8" s="4">
        <v>8.9</v>
      </c>
      <c r="BS8" s="10">
        <v>0.7</v>
      </c>
      <c r="BT8" s="9">
        <v>257</v>
      </c>
      <c r="BU8" s="4">
        <v>6.8</v>
      </c>
      <c r="BV8" s="9" t="s">
        <v>58</v>
      </c>
      <c r="BW8" s="9">
        <v>1</v>
      </c>
      <c r="BX8" s="9">
        <v>1</v>
      </c>
      <c r="BY8" s="9" t="s">
        <v>59</v>
      </c>
      <c r="BZ8" s="9">
        <v>0.2</v>
      </c>
      <c r="CA8" s="9">
        <v>0.01</v>
      </c>
      <c r="CB8" s="9" t="s">
        <v>60</v>
      </c>
      <c r="CC8" s="12">
        <v>2.4E-2</v>
      </c>
      <c r="CD8" s="9" t="s">
        <v>61</v>
      </c>
      <c r="CE8" s="9">
        <v>0.05</v>
      </c>
      <c r="CF8" s="9" t="s">
        <v>62</v>
      </c>
      <c r="CG8" s="9" t="s">
        <v>63</v>
      </c>
      <c r="CH8" s="9" t="s">
        <v>64</v>
      </c>
      <c r="CI8" s="11">
        <f t="shared" si="26"/>
        <v>18.083492135105807</v>
      </c>
      <c r="CJ8" s="10">
        <f t="shared" si="27"/>
        <v>0.68991411766119826</v>
      </c>
      <c r="CK8" s="10">
        <f t="shared" si="13"/>
        <v>0.10314685314685315</v>
      </c>
      <c r="CL8" s="4">
        <f t="shared" si="14"/>
        <v>6.31</v>
      </c>
      <c r="CM8" s="4">
        <f t="shared" si="16"/>
        <v>2.9157667386609072</v>
      </c>
      <c r="CN8" s="4">
        <f t="shared" si="17"/>
        <v>5.550755939524838</v>
      </c>
      <c r="CO8" s="4">
        <f t="shared" si="18"/>
        <v>12.714285714285715</v>
      </c>
      <c r="CP8" s="4">
        <f t="shared" si="19"/>
        <v>2.4251473269733888</v>
      </c>
      <c r="CQ8" s="4">
        <f t="shared" si="20"/>
        <v>3.5699373695198333</v>
      </c>
      <c r="CR8" s="10">
        <f t="shared" si="21"/>
        <v>1.6931106471816282</v>
      </c>
      <c r="CS8" s="12">
        <f t="shared" si="22"/>
        <v>0.63545208053364388</v>
      </c>
      <c r="CT8" s="4">
        <f>AP8/AO8</f>
        <v>0.3888888888888889</v>
      </c>
      <c r="CU8" s="38">
        <f t="shared" si="28"/>
        <v>973.93186472019431</v>
      </c>
      <c r="CV8" s="40">
        <f t="shared" si="15"/>
        <v>964.27035951124674</v>
      </c>
      <c r="CW8" s="4">
        <f t="shared" si="29"/>
        <v>48.844988924927151</v>
      </c>
      <c r="CX8" s="4">
        <f t="shared" si="30"/>
        <v>1.8621001359349325</v>
      </c>
      <c r="CY8" s="11">
        <f t="shared" si="31"/>
        <v>793.13840274753318</v>
      </c>
      <c r="CZ8" s="11">
        <f t="shared" si="32"/>
        <v>733.09259862308545</v>
      </c>
    </row>
    <row r="9" spans="1:104" ht="14" customHeight="1">
      <c r="A9" s="3" t="s">
        <v>102</v>
      </c>
      <c r="B9" s="3" t="s">
        <v>93</v>
      </c>
      <c r="C9" s="3" t="s">
        <v>89</v>
      </c>
      <c r="D9" s="4">
        <v>63.1</v>
      </c>
      <c r="E9" s="9">
        <v>1.1200000000000001</v>
      </c>
      <c r="F9" s="4">
        <v>15.6</v>
      </c>
      <c r="G9" s="10">
        <v>3.44</v>
      </c>
      <c r="H9" s="9">
        <v>0.05</v>
      </c>
      <c r="I9" s="9">
        <v>2.67</v>
      </c>
      <c r="J9" s="10">
        <v>7.07</v>
      </c>
      <c r="K9" s="10">
        <v>6.85</v>
      </c>
      <c r="L9" s="10">
        <v>0.21</v>
      </c>
      <c r="M9" s="9">
        <v>0.28999999999999998</v>
      </c>
      <c r="N9" s="9">
        <v>0.01</v>
      </c>
      <c r="O9" s="35">
        <v>2E-3</v>
      </c>
      <c r="P9" s="10">
        <v>0.02</v>
      </c>
      <c r="Q9" s="10"/>
      <c r="R9" s="4">
        <f t="shared" si="0"/>
        <v>62.829831723588576</v>
      </c>
      <c r="S9" s="10">
        <f t="shared" si="1"/>
        <v>1.1370558375634519</v>
      </c>
      <c r="T9" s="4">
        <f t="shared" si="2"/>
        <v>15.533207209001295</v>
      </c>
      <c r="U9" s="4">
        <f t="shared" si="3"/>
        <v>3.4252713332669522</v>
      </c>
      <c r="V9" s="10">
        <f t="shared" si="4"/>
        <v>4.9785920541670817E-2</v>
      </c>
      <c r="W9" s="10">
        <f t="shared" si="5"/>
        <v>2.6585681569252215</v>
      </c>
      <c r="X9" s="10">
        <f t="shared" si="6"/>
        <v>7.039729164592254</v>
      </c>
      <c r="Y9" s="10">
        <f t="shared" si="7"/>
        <v>6.8206711142089018</v>
      </c>
      <c r="Z9" s="10">
        <f t="shared" si="8"/>
        <v>0.20910086627501745</v>
      </c>
      <c r="AA9" s="10">
        <f t="shared" si="9"/>
        <v>0.28875833914169069</v>
      </c>
      <c r="AB9" s="10">
        <f t="shared" si="10"/>
        <v>9.9571841083341637E-3</v>
      </c>
      <c r="AC9" s="10">
        <f t="shared" si="11"/>
        <v>1.9914368216668327E-3</v>
      </c>
      <c r="AD9" s="10">
        <f t="shared" si="12"/>
        <v>1.9914368216668327E-2</v>
      </c>
      <c r="AE9" s="10"/>
      <c r="AF9" s="10">
        <v>0.02</v>
      </c>
      <c r="AG9" s="9" t="s">
        <v>63</v>
      </c>
      <c r="AH9" s="10">
        <v>0.7</v>
      </c>
      <c r="AI9" s="4">
        <v>101.13</v>
      </c>
      <c r="AJ9" s="11">
        <f t="shared" si="23"/>
        <v>1743.312101910828</v>
      </c>
      <c r="AK9" s="11">
        <f t="shared" si="24"/>
        <v>6712.5395970801474</v>
      </c>
      <c r="AL9" s="11">
        <f t="shared" si="25"/>
        <v>1265.5065520642524</v>
      </c>
      <c r="AM9" s="11">
        <v>102.5</v>
      </c>
      <c r="AN9" s="9" t="s">
        <v>66</v>
      </c>
      <c r="AO9" s="9">
        <v>23</v>
      </c>
      <c r="AP9" s="9">
        <v>104</v>
      </c>
      <c r="AQ9" s="9">
        <v>10</v>
      </c>
      <c r="AR9" s="9">
        <v>4</v>
      </c>
      <c r="AS9" s="9">
        <v>1</v>
      </c>
      <c r="AT9" s="9">
        <v>1</v>
      </c>
      <c r="AU9" s="9">
        <v>10</v>
      </c>
      <c r="AV9" s="4">
        <v>22.3</v>
      </c>
      <c r="AW9" s="9">
        <v>2.6</v>
      </c>
      <c r="AX9" s="9">
        <v>188</v>
      </c>
      <c r="AY9" s="9">
        <v>53.9</v>
      </c>
      <c r="AZ9" s="10">
        <v>0.05</v>
      </c>
      <c r="BA9" s="4">
        <v>20.2</v>
      </c>
      <c r="BB9" s="4">
        <v>62.8</v>
      </c>
      <c r="BC9" s="10">
        <v>9.18</v>
      </c>
      <c r="BD9" s="4">
        <v>41.5</v>
      </c>
      <c r="BE9" s="10">
        <v>9.34</v>
      </c>
      <c r="BF9" s="10">
        <v>2.4700000000000002</v>
      </c>
      <c r="BG9" s="10">
        <v>9.76</v>
      </c>
      <c r="BH9" s="10">
        <v>1.58</v>
      </c>
      <c r="BI9" s="10">
        <v>9.23</v>
      </c>
      <c r="BJ9" s="10">
        <v>2.0499999999999998</v>
      </c>
      <c r="BK9" s="10">
        <v>6.37</v>
      </c>
      <c r="BL9" s="9">
        <v>0.92</v>
      </c>
      <c r="BM9" s="10">
        <v>5.8</v>
      </c>
      <c r="BN9" s="10">
        <v>0.89</v>
      </c>
      <c r="BO9" s="9"/>
      <c r="BP9" s="10">
        <v>2.2599999999999998</v>
      </c>
      <c r="BQ9" s="10">
        <v>0.44</v>
      </c>
      <c r="BR9" s="4">
        <v>12.7</v>
      </c>
      <c r="BS9" s="10">
        <v>0.8</v>
      </c>
      <c r="BT9" s="9">
        <v>176</v>
      </c>
      <c r="BU9" s="4">
        <v>4.5</v>
      </c>
      <c r="BV9" s="9" t="s">
        <v>58</v>
      </c>
      <c r="BW9" s="9">
        <v>2</v>
      </c>
      <c r="BX9" s="9" t="s">
        <v>65</v>
      </c>
      <c r="BY9" s="9" t="s">
        <v>59</v>
      </c>
      <c r="BZ9" s="9">
        <v>0.3</v>
      </c>
      <c r="CA9" s="9" t="s">
        <v>63</v>
      </c>
      <c r="CB9" s="9" t="s">
        <v>60</v>
      </c>
      <c r="CC9" s="12">
        <v>8.0000000000000002E-3</v>
      </c>
      <c r="CD9" s="9" t="s">
        <v>61</v>
      </c>
      <c r="CE9" s="9" t="s">
        <v>67</v>
      </c>
      <c r="CF9" s="9" t="s">
        <v>62</v>
      </c>
      <c r="CG9" s="9" t="s">
        <v>63</v>
      </c>
      <c r="CH9" s="9" t="s">
        <v>64</v>
      </c>
      <c r="CI9" s="11">
        <f t="shared" si="26"/>
        <v>55.453627046715809</v>
      </c>
      <c r="CJ9" s="10">
        <f t="shared" si="27"/>
        <v>0.48761952788837915</v>
      </c>
      <c r="CK9" s="10">
        <f t="shared" si="13"/>
        <v>3.0656934306569343E-2</v>
      </c>
      <c r="CL9" s="4">
        <f t="shared" si="14"/>
        <v>7.06</v>
      </c>
      <c r="CM9" s="4">
        <f t="shared" si="16"/>
        <v>3.4879406307977736</v>
      </c>
      <c r="CN9" s="4">
        <f t="shared" si="17"/>
        <v>3.2653061224489797</v>
      </c>
      <c r="CO9" s="4">
        <f t="shared" si="18"/>
        <v>15.874999999999998</v>
      </c>
      <c r="CP9" s="4">
        <f t="shared" si="19"/>
        <v>2.3659246326203984</v>
      </c>
      <c r="CQ9" s="4">
        <f t="shared" si="20"/>
        <v>3.4827586206896552</v>
      </c>
      <c r="CR9" s="10">
        <f t="shared" si="21"/>
        <v>1.5913793103448277</v>
      </c>
      <c r="CS9" s="12">
        <f t="shared" si="22"/>
        <v>0.78858335751727093</v>
      </c>
      <c r="CT9" s="4">
        <f>AP9/AO9</f>
        <v>4.5217391304347823</v>
      </c>
      <c r="CU9" s="38">
        <f t="shared" si="28"/>
        <v>949.68761960724862</v>
      </c>
      <c r="CV9" s="40">
        <f t="shared" si="15"/>
        <v>946.00491678344235</v>
      </c>
      <c r="CW9" s="4">
        <f t="shared" si="29"/>
        <v>49.0917181312807</v>
      </c>
      <c r="CX9" s="4">
        <f t="shared" si="30"/>
        <v>3.0966928154703726</v>
      </c>
      <c r="CY9" s="11">
        <f t="shared" si="31"/>
        <v>680.56621818738279</v>
      </c>
      <c r="CZ9" s="11">
        <f t="shared" si="32"/>
        <v>579.41332042825491</v>
      </c>
    </row>
    <row r="10" spans="1:104" ht="14" customHeight="1">
      <c r="A10" s="3" t="s">
        <v>103</v>
      </c>
      <c r="B10" s="3" t="s">
        <v>93</v>
      </c>
      <c r="C10" s="3" t="s">
        <v>90</v>
      </c>
      <c r="D10" s="4">
        <v>68.5</v>
      </c>
      <c r="E10" s="9">
        <v>0.51</v>
      </c>
      <c r="F10" s="4">
        <v>13.5</v>
      </c>
      <c r="G10" s="10">
        <v>8.35</v>
      </c>
      <c r="H10" s="9">
        <v>0.17</v>
      </c>
      <c r="I10" s="9">
        <v>0.24</v>
      </c>
      <c r="J10" s="10">
        <v>3.7</v>
      </c>
      <c r="K10" s="10">
        <v>4.7</v>
      </c>
      <c r="L10" s="10">
        <v>0.55000000000000004</v>
      </c>
      <c r="M10" s="9">
        <v>0.11</v>
      </c>
      <c r="N10" s="35">
        <v>0.02</v>
      </c>
      <c r="O10" s="35">
        <v>3.0000000000000001E-3</v>
      </c>
      <c r="P10" s="10">
        <v>0.01</v>
      </c>
      <c r="Q10" s="10"/>
      <c r="R10" s="4">
        <f t="shared" si="0"/>
        <v>68.254284575528104</v>
      </c>
      <c r="S10" s="10">
        <f t="shared" si="1"/>
        <v>0.51776649746192893</v>
      </c>
      <c r="T10" s="4">
        <f t="shared" si="2"/>
        <v>13.451574332403348</v>
      </c>
      <c r="U10" s="4">
        <f t="shared" si="3"/>
        <v>8.3200478278198489</v>
      </c>
      <c r="V10" s="10">
        <f t="shared" si="4"/>
        <v>0.16939019529693106</v>
      </c>
      <c r="W10" s="10">
        <f t="shared" si="5"/>
        <v>0.23913909924272619</v>
      </c>
      <c r="X10" s="10">
        <f t="shared" si="6"/>
        <v>3.6867277799920286</v>
      </c>
      <c r="Y10" s="10">
        <f t="shared" si="7"/>
        <v>4.6831406935033879</v>
      </c>
      <c r="Z10" s="10">
        <f t="shared" si="8"/>
        <v>0.54802710243124764</v>
      </c>
      <c r="AA10" s="10">
        <f t="shared" si="9"/>
        <v>0.10960542048624951</v>
      </c>
      <c r="AB10" s="10">
        <f t="shared" si="10"/>
        <v>1.9928258270227182E-2</v>
      </c>
      <c r="AC10" s="10">
        <f t="shared" si="11"/>
        <v>2.9892387405340772E-3</v>
      </c>
      <c r="AD10" s="10">
        <f t="shared" si="12"/>
        <v>9.9641291351135908E-3</v>
      </c>
      <c r="AE10" s="10"/>
      <c r="AF10" s="10">
        <v>0.01</v>
      </c>
      <c r="AG10" s="9" t="s">
        <v>63</v>
      </c>
      <c r="AH10" s="10">
        <v>0.9</v>
      </c>
      <c r="AI10" s="4">
        <v>101.26</v>
      </c>
      <c r="AJ10" s="11">
        <f t="shared" si="23"/>
        <v>4565.8174097664551</v>
      </c>
      <c r="AK10" s="11">
        <f t="shared" si="24"/>
        <v>3056.6028522418524</v>
      </c>
      <c r="AL10" s="11">
        <f t="shared" si="25"/>
        <v>480.01972664506127</v>
      </c>
      <c r="AM10" s="11">
        <v>213</v>
      </c>
      <c r="AN10" s="9">
        <v>10</v>
      </c>
      <c r="AO10" s="9">
        <v>24</v>
      </c>
      <c r="AP10" s="9" t="s">
        <v>58</v>
      </c>
      <c r="AQ10" s="9">
        <v>20</v>
      </c>
      <c r="AR10" s="9">
        <v>1</v>
      </c>
      <c r="AS10" s="9">
        <v>1</v>
      </c>
      <c r="AT10" s="9">
        <v>18</v>
      </c>
      <c r="AU10" s="9">
        <v>92</v>
      </c>
      <c r="AV10" s="4">
        <v>22.9</v>
      </c>
      <c r="AW10" s="9">
        <v>9.3000000000000007</v>
      </c>
      <c r="AX10" s="9">
        <v>146</v>
      </c>
      <c r="AY10" s="9">
        <v>45.9</v>
      </c>
      <c r="AZ10" s="10">
        <v>0.33</v>
      </c>
      <c r="BA10" s="4">
        <v>17.8</v>
      </c>
      <c r="BB10" s="4">
        <v>42.9</v>
      </c>
      <c r="BC10" s="10">
        <v>5.98</v>
      </c>
      <c r="BD10" s="4">
        <v>26</v>
      </c>
      <c r="BE10" s="10">
        <v>7.13</v>
      </c>
      <c r="BF10" s="10">
        <v>2.35</v>
      </c>
      <c r="BG10" s="10">
        <v>7.67</v>
      </c>
      <c r="BH10" s="10">
        <v>1.28</v>
      </c>
      <c r="BI10" s="10">
        <v>7.55</v>
      </c>
      <c r="BJ10" s="10">
        <v>1.73</v>
      </c>
      <c r="BK10" s="10">
        <v>5.18</v>
      </c>
      <c r="BL10" s="9">
        <v>0.77</v>
      </c>
      <c r="BM10" s="10">
        <v>5.0999999999999996</v>
      </c>
      <c r="BN10" s="10">
        <v>0.75</v>
      </c>
      <c r="BO10" s="9"/>
      <c r="BP10" s="10">
        <v>1.83</v>
      </c>
      <c r="BQ10" s="10">
        <v>0.39</v>
      </c>
      <c r="BR10" s="4">
        <v>10.3</v>
      </c>
      <c r="BS10" s="10">
        <v>0.8</v>
      </c>
      <c r="BT10" s="9">
        <v>179</v>
      </c>
      <c r="BU10" s="4">
        <v>4.9000000000000004</v>
      </c>
      <c r="BV10" s="9" t="s">
        <v>58</v>
      </c>
      <c r="BW10" s="9">
        <v>1</v>
      </c>
      <c r="BX10" s="9" t="s">
        <v>65</v>
      </c>
      <c r="BY10" s="9" t="s">
        <v>59</v>
      </c>
      <c r="BZ10" s="9">
        <v>0.3</v>
      </c>
      <c r="CA10" s="9">
        <v>0.01</v>
      </c>
      <c r="CB10" s="9" t="s">
        <v>60</v>
      </c>
      <c r="CC10" s="12">
        <v>0.04</v>
      </c>
      <c r="CD10" s="9" t="s">
        <v>61</v>
      </c>
      <c r="CE10" s="9">
        <v>0.12</v>
      </c>
      <c r="CF10" s="9">
        <v>0.2</v>
      </c>
      <c r="CG10" s="9" t="s">
        <v>63</v>
      </c>
      <c r="CH10" s="9" t="s">
        <v>64</v>
      </c>
      <c r="CI10" s="11">
        <f t="shared" si="26"/>
        <v>4.4067341877327548</v>
      </c>
      <c r="CJ10" s="10">
        <f t="shared" si="27"/>
        <v>0.682550512644026</v>
      </c>
      <c r="CK10" s="10">
        <f t="shared" si="13"/>
        <v>0.11702127659574468</v>
      </c>
      <c r="CL10" s="4">
        <f t="shared" si="14"/>
        <v>5.25</v>
      </c>
      <c r="CM10" s="4">
        <f t="shared" si="16"/>
        <v>3.1808278867102397</v>
      </c>
      <c r="CN10" s="4">
        <f t="shared" si="17"/>
        <v>3.8997821350762529</v>
      </c>
      <c r="CO10" s="4">
        <f t="shared" si="18"/>
        <v>12.875</v>
      </c>
      <c r="CP10" s="4">
        <f t="shared" si="19"/>
        <v>2.3709770828162493</v>
      </c>
      <c r="CQ10" s="4">
        <f t="shared" si="20"/>
        <v>3.490196078431373</v>
      </c>
      <c r="CR10" s="10">
        <f t="shared" si="21"/>
        <v>1.4803921568627452</v>
      </c>
      <c r="CS10" s="12">
        <f t="shared" si="22"/>
        <v>0.9686668031247454</v>
      </c>
      <c r="CT10" s="4"/>
      <c r="CU10" s="38">
        <f t="shared" si="28"/>
        <v>898.64590989801889</v>
      </c>
      <c r="CV10" s="40">
        <f t="shared" si="15"/>
        <v>895.69472345516795</v>
      </c>
      <c r="CW10" s="4">
        <f t="shared" si="29"/>
        <v>48.87550047575855</v>
      </c>
      <c r="CX10" s="4">
        <f t="shared" si="30"/>
        <v>1.9722682257206219</v>
      </c>
      <c r="CY10" s="11">
        <f t="shared" si="31"/>
        <v>754.46222800076578</v>
      </c>
      <c r="CZ10" s="11">
        <f t="shared" si="32"/>
        <v>686.33879029253046</v>
      </c>
    </row>
    <row r="11" spans="1:104" ht="14" customHeight="1">
      <c r="A11" s="3" t="s">
        <v>104</v>
      </c>
      <c r="B11" s="3" t="s">
        <v>93</v>
      </c>
      <c r="C11" s="3" t="s">
        <v>90</v>
      </c>
      <c r="D11" s="4">
        <v>80.099999999999994</v>
      </c>
      <c r="E11" s="9">
        <v>0.17</v>
      </c>
      <c r="F11" s="4">
        <v>10.6</v>
      </c>
      <c r="G11" s="10">
        <v>1.79</v>
      </c>
      <c r="H11" s="9">
        <v>0.01</v>
      </c>
      <c r="I11" s="9">
        <v>0.17</v>
      </c>
      <c r="J11" s="10">
        <v>1.01</v>
      </c>
      <c r="K11" s="10">
        <v>5.71</v>
      </c>
      <c r="L11" s="10">
        <v>0.59</v>
      </c>
      <c r="M11" s="9">
        <v>0.02</v>
      </c>
      <c r="N11" s="35">
        <v>0.01</v>
      </c>
      <c r="O11" s="35">
        <v>2E-3</v>
      </c>
      <c r="P11" s="10">
        <v>0</v>
      </c>
      <c r="Q11" s="10"/>
      <c r="R11" s="4">
        <f t="shared" si="0"/>
        <v>79.956079057696144</v>
      </c>
      <c r="S11" s="10">
        <f t="shared" si="1"/>
        <v>0.17258883248730963</v>
      </c>
      <c r="T11" s="4">
        <f t="shared" si="2"/>
        <v>10.580954282291875</v>
      </c>
      <c r="U11" s="4">
        <f t="shared" si="3"/>
        <v>1.7867837891794771</v>
      </c>
      <c r="V11" s="10">
        <f t="shared" si="4"/>
        <v>9.982032341784788E-3</v>
      </c>
      <c r="W11" s="10">
        <f t="shared" si="5"/>
        <v>0.16969454981034141</v>
      </c>
      <c r="X11" s="10">
        <f t="shared" si="6"/>
        <v>1.0081852665202635</v>
      </c>
      <c r="Y11" s="10">
        <f t="shared" si="7"/>
        <v>5.6997404671591143</v>
      </c>
      <c r="Z11" s="10">
        <f t="shared" si="8"/>
        <v>0.58893990816530251</v>
      </c>
      <c r="AA11" s="10">
        <f t="shared" si="9"/>
        <v>1.9964064683569576E-2</v>
      </c>
      <c r="AB11" s="10">
        <f t="shared" si="10"/>
        <v>9.982032341784788E-3</v>
      </c>
      <c r="AC11" s="10">
        <f t="shared" si="11"/>
        <v>1.9964064683569579E-3</v>
      </c>
      <c r="AD11" s="10">
        <f t="shared" si="12"/>
        <v>0</v>
      </c>
      <c r="AE11" s="10"/>
      <c r="AF11" s="10">
        <v>0.17</v>
      </c>
      <c r="AG11" s="9">
        <v>0.34</v>
      </c>
      <c r="AH11" s="10">
        <v>0.89</v>
      </c>
      <c r="AI11" s="4">
        <v>101.07</v>
      </c>
      <c r="AJ11" s="11">
        <f t="shared" si="23"/>
        <v>4897.8768577494693</v>
      </c>
      <c r="AK11" s="11">
        <f t="shared" si="24"/>
        <v>1018.8676174139507</v>
      </c>
      <c r="AL11" s="11">
        <f t="shared" si="25"/>
        <v>87.27631393546568</v>
      </c>
      <c r="AM11" s="11">
        <v>100.5</v>
      </c>
      <c r="AN11" s="9" t="s">
        <v>66</v>
      </c>
      <c r="AO11" s="9">
        <v>7</v>
      </c>
      <c r="AP11" s="9">
        <v>7</v>
      </c>
      <c r="AQ11" s="9">
        <v>10</v>
      </c>
      <c r="AR11" s="9">
        <v>3</v>
      </c>
      <c r="AS11" s="9">
        <v>9</v>
      </c>
      <c r="AT11" s="9">
        <v>22</v>
      </c>
      <c r="AU11" s="9">
        <v>6</v>
      </c>
      <c r="AV11" s="4">
        <v>14.4</v>
      </c>
      <c r="AW11" s="9">
        <v>9.6</v>
      </c>
      <c r="AX11" s="9">
        <v>44.2</v>
      </c>
      <c r="AY11" s="9">
        <v>59.9</v>
      </c>
      <c r="AZ11" s="10">
        <v>0.11</v>
      </c>
      <c r="BA11" s="4">
        <v>49.2</v>
      </c>
      <c r="BB11" s="11">
        <v>105</v>
      </c>
      <c r="BC11" s="4">
        <v>12.45</v>
      </c>
      <c r="BD11" s="4">
        <v>49.2</v>
      </c>
      <c r="BE11" s="4">
        <v>10.7</v>
      </c>
      <c r="BF11" s="10">
        <v>1.48</v>
      </c>
      <c r="BG11" s="4">
        <v>10.6</v>
      </c>
      <c r="BH11" s="10">
        <v>1.61</v>
      </c>
      <c r="BI11" s="10">
        <v>9.73</v>
      </c>
      <c r="BJ11" s="10">
        <v>2.16</v>
      </c>
      <c r="BK11" s="10">
        <v>6.87</v>
      </c>
      <c r="BL11" s="9">
        <v>1.02</v>
      </c>
      <c r="BM11" s="10">
        <v>6.69</v>
      </c>
      <c r="BN11" s="10">
        <v>0.95</v>
      </c>
      <c r="BO11" s="9"/>
      <c r="BP11" s="10">
        <v>3.63</v>
      </c>
      <c r="BQ11" s="10">
        <v>0.9</v>
      </c>
      <c r="BR11" s="4">
        <v>17.399999999999999</v>
      </c>
      <c r="BS11" s="10">
        <v>1.1000000000000001</v>
      </c>
      <c r="BT11" s="9">
        <v>298</v>
      </c>
      <c r="BU11" s="4">
        <v>7.8</v>
      </c>
      <c r="BV11" s="9" t="s">
        <v>58</v>
      </c>
      <c r="BW11" s="9">
        <v>2</v>
      </c>
      <c r="BX11" s="9">
        <v>1</v>
      </c>
      <c r="BY11" s="9" t="s">
        <v>59</v>
      </c>
      <c r="BZ11" s="9">
        <v>1.9</v>
      </c>
      <c r="CA11" s="9">
        <v>0.05</v>
      </c>
      <c r="CB11" s="9" t="s">
        <v>60</v>
      </c>
      <c r="CC11" s="12">
        <v>5.3999999999999999E-2</v>
      </c>
      <c r="CD11" s="9" t="s">
        <v>61</v>
      </c>
      <c r="CE11" s="9" t="s">
        <v>67</v>
      </c>
      <c r="CF11" s="9" t="s">
        <v>62</v>
      </c>
      <c r="CG11" s="9">
        <v>0.03</v>
      </c>
      <c r="CH11" s="9" t="s">
        <v>64</v>
      </c>
      <c r="CI11" s="11">
        <f t="shared" si="26"/>
        <v>13.218649428479647</v>
      </c>
      <c r="CJ11" s="10">
        <f t="shared" si="27"/>
        <v>0.6797961287854859</v>
      </c>
      <c r="CK11" s="10">
        <f t="shared" si="13"/>
        <v>0.10332749562171628</v>
      </c>
      <c r="CL11" s="4">
        <f t="shared" si="14"/>
        <v>6.3</v>
      </c>
      <c r="CM11" s="4">
        <f t="shared" si="16"/>
        <v>0.73789649415692826</v>
      </c>
      <c r="CN11" s="4">
        <f t="shared" si="17"/>
        <v>4.9749582637729555</v>
      </c>
      <c r="CO11" s="4">
        <f t="shared" si="18"/>
        <v>15.818181818181815</v>
      </c>
      <c r="CP11" s="4">
        <f t="shared" si="19"/>
        <v>4.9959319596601777</v>
      </c>
      <c r="CQ11" s="4">
        <f t="shared" si="20"/>
        <v>7.3542600896860986</v>
      </c>
      <c r="CR11" s="10">
        <f t="shared" si="21"/>
        <v>1.4544095665171899</v>
      </c>
      <c r="CS11" s="12">
        <f t="shared" si="22"/>
        <v>0.42360969878742588</v>
      </c>
      <c r="CT11" s="4">
        <f t="shared" ref="CT11:CT19" si="33">AP11/AO11</f>
        <v>1</v>
      </c>
      <c r="CU11" s="38">
        <f t="shared" si="28"/>
        <v>855.77674427417207</v>
      </c>
      <c r="CV11" s="40">
        <f t="shared" si="15"/>
        <v>854.40237023114707</v>
      </c>
      <c r="CW11" s="4">
        <f t="shared" si="29"/>
        <v>45.825833428586868</v>
      </c>
      <c r="CX11" s="4">
        <f t="shared" si="30"/>
        <v>1.3459290824444146</v>
      </c>
      <c r="CY11" s="11">
        <f t="shared" si="31"/>
        <v>847.49017812496743</v>
      </c>
      <c r="CZ11" s="11">
        <f t="shared" si="32"/>
        <v>813.90524544154152</v>
      </c>
    </row>
    <row r="12" spans="1:104" ht="14" customHeight="1">
      <c r="A12" s="3" t="s">
        <v>105</v>
      </c>
      <c r="B12" s="3" t="s">
        <v>93</v>
      </c>
      <c r="C12" s="3" t="s">
        <v>90</v>
      </c>
      <c r="D12" s="4">
        <v>76.2</v>
      </c>
      <c r="E12" s="9">
        <v>0.26</v>
      </c>
      <c r="F12" s="4">
        <v>11.2</v>
      </c>
      <c r="G12" s="10">
        <v>0.78</v>
      </c>
      <c r="H12" s="9">
        <v>0.01</v>
      </c>
      <c r="I12" s="9">
        <v>0.73</v>
      </c>
      <c r="J12" s="10">
        <v>2.31</v>
      </c>
      <c r="K12" s="10">
        <v>5.26</v>
      </c>
      <c r="L12" s="10">
        <v>0.37</v>
      </c>
      <c r="M12" s="9">
        <v>0.04</v>
      </c>
      <c r="N12" s="35">
        <v>0.02</v>
      </c>
      <c r="O12" s="35">
        <v>2E-3</v>
      </c>
      <c r="P12" s="10">
        <v>0.01</v>
      </c>
      <c r="Q12" s="10"/>
      <c r="R12" s="4">
        <f t="shared" si="0"/>
        <v>78.403127893816233</v>
      </c>
      <c r="S12" s="10">
        <f t="shared" si="1"/>
        <v>0.26395939086294418</v>
      </c>
      <c r="T12" s="4">
        <f t="shared" si="2"/>
        <v>11.523819322975616</v>
      </c>
      <c r="U12" s="4">
        <f t="shared" si="3"/>
        <v>0.80255170285008748</v>
      </c>
      <c r="V12" s="10">
        <f t="shared" si="4"/>
        <v>1.0289124395513941E-2</v>
      </c>
      <c r="W12" s="10">
        <f t="shared" si="5"/>
        <v>0.75110608087251773</v>
      </c>
      <c r="X12" s="10">
        <f t="shared" si="6"/>
        <v>2.3767877353637208</v>
      </c>
      <c r="Y12" s="10">
        <f t="shared" si="7"/>
        <v>5.4120794320403336</v>
      </c>
      <c r="Z12" s="10">
        <f t="shared" si="8"/>
        <v>0.38069760263401586</v>
      </c>
      <c r="AA12" s="10">
        <f t="shared" si="9"/>
        <v>4.1156497582055765E-2</v>
      </c>
      <c r="AB12" s="10">
        <f t="shared" si="10"/>
        <v>2.0578248791027882E-2</v>
      </c>
      <c r="AC12" s="10">
        <f t="shared" si="11"/>
        <v>2.0578248791027886E-3</v>
      </c>
      <c r="AD12" s="10">
        <f t="shared" si="12"/>
        <v>1.0289124395513941E-2</v>
      </c>
      <c r="AE12" s="10"/>
      <c r="AF12" s="10">
        <v>0.33</v>
      </c>
      <c r="AG12" s="9" t="s">
        <v>63</v>
      </c>
      <c r="AH12" s="10">
        <v>1.88</v>
      </c>
      <c r="AI12" s="4">
        <v>99.07</v>
      </c>
      <c r="AJ12" s="11">
        <f t="shared" si="23"/>
        <v>3071.5498938428877</v>
      </c>
      <c r="AK12" s="11">
        <f t="shared" si="24"/>
        <v>1558.2681207507485</v>
      </c>
      <c r="AL12" s="11">
        <f t="shared" si="25"/>
        <v>174.55262787093136</v>
      </c>
      <c r="AM12" s="11">
        <v>157</v>
      </c>
      <c r="AN12" s="9">
        <v>10</v>
      </c>
      <c r="AO12" s="9">
        <v>8</v>
      </c>
      <c r="AP12" s="9">
        <v>23</v>
      </c>
      <c r="AQ12" s="9">
        <v>20</v>
      </c>
      <c r="AR12" s="9">
        <v>1</v>
      </c>
      <c r="AS12" s="9">
        <v>1</v>
      </c>
      <c r="AT12" s="9">
        <v>2</v>
      </c>
      <c r="AU12" s="9">
        <v>7</v>
      </c>
      <c r="AV12" s="4">
        <v>16.8</v>
      </c>
      <c r="AW12" s="9">
        <v>6.3</v>
      </c>
      <c r="AX12" s="9">
        <v>88.5</v>
      </c>
      <c r="AY12" s="9">
        <v>72.3</v>
      </c>
      <c r="AZ12" s="10">
        <v>0.1</v>
      </c>
      <c r="BA12" s="4">
        <v>49.1</v>
      </c>
      <c r="BB12" s="11">
        <v>111</v>
      </c>
      <c r="BC12" s="4">
        <v>14.6</v>
      </c>
      <c r="BD12" s="4">
        <v>61.6</v>
      </c>
      <c r="BE12" s="4">
        <v>13.35</v>
      </c>
      <c r="BF12" s="10">
        <v>1.99</v>
      </c>
      <c r="BG12" s="4">
        <v>12.85</v>
      </c>
      <c r="BH12" s="10">
        <v>1.97</v>
      </c>
      <c r="BI12" s="4">
        <v>12.2</v>
      </c>
      <c r="BJ12" s="10">
        <v>2.74</v>
      </c>
      <c r="BK12" s="10">
        <v>7.86</v>
      </c>
      <c r="BL12" s="9">
        <v>1.21</v>
      </c>
      <c r="BM12" s="10">
        <v>7.98</v>
      </c>
      <c r="BN12" s="10">
        <v>1.18</v>
      </c>
      <c r="BO12" s="9"/>
      <c r="BP12" s="10">
        <v>3.71</v>
      </c>
      <c r="BQ12" s="10">
        <v>0.72</v>
      </c>
      <c r="BR12" s="4">
        <v>19.100000000000001</v>
      </c>
      <c r="BS12" s="10">
        <v>1.3</v>
      </c>
      <c r="BT12" s="9">
        <v>307</v>
      </c>
      <c r="BU12" s="4">
        <v>8.5</v>
      </c>
      <c r="BV12" s="9" t="s">
        <v>58</v>
      </c>
      <c r="BW12" s="9">
        <v>7</v>
      </c>
      <c r="BX12" s="9">
        <v>1</v>
      </c>
      <c r="BY12" s="9" t="s">
        <v>59</v>
      </c>
      <c r="BZ12" s="9">
        <v>0.1</v>
      </c>
      <c r="CA12" s="9">
        <v>0.01</v>
      </c>
      <c r="CB12" s="9" t="s">
        <v>60</v>
      </c>
      <c r="CC12" s="12">
        <v>1.0999999999999999E-2</v>
      </c>
      <c r="CD12" s="9" t="s">
        <v>61</v>
      </c>
      <c r="CE12" s="9" t="s">
        <v>67</v>
      </c>
      <c r="CF12" s="9">
        <v>0.2</v>
      </c>
      <c r="CG12" s="9" t="s">
        <v>63</v>
      </c>
      <c r="CH12" s="9" t="s">
        <v>64</v>
      </c>
      <c r="CI12" s="11">
        <f t="shared" si="26"/>
        <v>60.016676265081152</v>
      </c>
      <c r="CJ12" s="10">
        <f t="shared" si="27"/>
        <v>0.64320507621313994</v>
      </c>
      <c r="CK12" s="10">
        <f t="shared" si="13"/>
        <v>7.0342205323193921E-2</v>
      </c>
      <c r="CL12" s="4">
        <f t="shared" si="14"/>
        <v>5.63</v>
      </c>
      <c r="CM12" s="4">
        <f t="shared" si="16"/>
        <v>1.2240663900414939</v>
      </c>
      <c r="CN12" s="4">
        <f t="shared" si="17"/>
        <v>4.2461964038727524</v>
      </c>
      <c r="CO12" s="4">
        <f t="shared" si="18"/>
        <v>14.692307692307693</v>
      </c>
      <c r="CP12" s="4">
        <f t="shared" si="19"/>
        <v>4.1798060552224445</v>
      </c>
      <c r="CQ12" s="4">
        <f t="shared" si="20"/>
        <v>6.1528822055137846</v>
      </c>
      <c r="CR12" s="10">
        <f t="shared" si="21"/>
        <v>1.5288220551378444</v>
      </c>
      <c r="CS12" s="12">
        <f t="shared" si="22"/>
        <v>0.46313742936414221</v>
      </c>
      <c r="CT12" s="4">
        <f t="shared" si="33"/>
        <v>2.875</v>
      </c>
      <c r="CU12" s="38">
        <f t="shared" si="28"/>
        <v>878.24271607745789</v>
      </c>
      <c r="CV12" s="40">
        <f t="shared" si="15"/>
        <v>900.37934393629632</v>
      </c>
      <c r="CW12" s="4">
        <f t="shared" si="29"/>
        <v>45.036631707032164</v>
      </c>
      <c r="CX12" s="4">
        <f t="shared" si="30"/>
        <v>1.6021544271861998</v>
      </c>
      <c r="CY12" s="11">
        <f t="shared" si="31"/>
        <v>829.4786844470683</v>
      </c>
      <c r="CZ12" s="11">
        <f t="shared" si="32"/>
        <v>783.51092333302029</v>
      </c>
    </row>
    <row r="13" spans="1:104" ht="14" customHeight="1">
      <c r="A13" s="3" t="s">
        <v>106</v>
      </c>
      <c r="B13" s="3" t="s">
        <v>93</v>
      </c>
      <c r="C13" s="3" t="s">
        <v>90</v>
      </c>
      <c r="D13" s="4">
        <v>67.7</v>
      </c>
      <c r="E13" s="9">
        <v>0.69</v>
      </c>
      <c r="F13" s="4">
        <v>14.85</v>
      </c>
      <c r="G13" s="10">
        <v>3.62</v>
      </c>
      <c r="H13" s="9">
        <v>0.05</v>
      </c>
      <c r="I13" s="9">
        <v>1.64</v>
      </c>
      <c r="J13" s="10">
        <v>5.28</v>
      </c>
      <c r="K13" s="10">
        <v>5.76</v>
      </c>
      <c r="L13" s="10">
        <v>0.41</v>
      </c>
      <c r="M13" s="9">
        <v>0.25</v>
      </c>
      <c r="N13" s="35">
        <v>0.02</v>
      </c>
      <c r="O13" s="35">
        <v>3.0000000000000001E-3</v>
      </c>
      <c r="P13" s="10">
        <v>0.02</v>
      </c>
      <c r="Q13" s="10"/>
      <c r="R13" s="4">
        <f t="shared" si="0"/>
        <v>67.504237710639146</v>
      </c>
      <c r="S13" s="10">
        <f t="shared" si="1"/>
        <v>0.70050761421319796</v>
      </c>
      <c r="T13" s="4">
        <f t="shared" si="2"/>
        <v>14.807059527370624</v>
      </c>
      <c r="U13" s="4">
        <f t="shared" si="3"/>
        <v>3.6095323561671151</v>
      </c>
      <c r="V13" s="10">
        <f t="shared" si="4"/>
        <v>4.9855419284076177E-2</v>
      </c>
      <c r="W13" s="10">
        <f t="shared" si="5"/>
        <v>1.6352577525176986</v>
      </c>
      <c r="X13" s="10">
        <f t="shared" si="6"/>
        <v>5.2647322763984441</v>
      </c>
      <c r="Y13" s="10">
        <f t="shared" si="7"/>
        <v>5.7433443015255756</v>
      </c>
      <c r="Z13" s="10">
        <f t="shared" si="8"/>
        <v>0.40881443812942464</v>
      </c>
      <c r="AA13" s="10">
        <f t="shared" si="9"/>
        <v>0.24927709642038087</v>
      </c>
      <c r="AB13" s="10">
        <f t="shared" si="10"/>
        <v>1.9942167713630471E-2</v>
      </c>
      <c r="AC13" s="10">
        <f t="shared" si="11"/>
        <v>2.9913251570445705E-3</v>
      </c>
      <c r="AD13" s="10">
        <f t="shared" si="12"/>
        <v>1.9942167713630471E-2</v>
      </c>
      <c r="AE13" s="10"/>
      <c r="AF13" s="10">
        <v>0.1</v>
      </c>
      <c r="AG13" s="9" t="s">
        <v>63</v>
      </c>
      <c r="AH13" s="10">
        <v>1.07</v>
      </c>
      <c r="AI13" s="4">
        <v>101.36</v>
      </c>
      <c r="AJ13" s="11">
        <f t="shared" si="23"/>
        <v>3403.6093418259024</v>
      </c>
      <c r="AK13" s="11">
        <f t="shared" si="24"/>
        <v>4135.403858915447</v>
      </c>
      <c r="AL13" s="11">
        <f t="shared" si="25"/>
        <v>1090.9539241933212</v>
      </c>
      <c r="AM13" s="11">
        <v>155.5</v>
      </c>
      <c r="AN13" s="9">
        <v>10</v>
      </c>
      <c r="AO13" s="9">
        <v>19</v>
      </c>
      <c r="AP13" s="9">
        <v>8</v>
      </c>
      <c r="AQ13" s="9">
        <v>10</v>
      </c>
      <c r="AR13" s="9">
        <v>2</v>
      </c>
      <c r="AS13" s="9" t="s">
        <v>65</v>
      </c>
      <c r="AT13" s="9">
        <v>6</v>
      </c>
      <c r="AU13" s="9">
        <v>26</v>
      </c>
      <c r="AV13" s="4">
        <v>22.5</v>
      </c>
      <c r="AW13" s="9">
        <v>4.0999999999999996</v>
      </c>
      <c r="AX13" s="9">
        <v>173.5</v>
      </c>
      <c r="AY13" s="9">
        <v>84.8</v>
      </c>
      <c r="AZ13" s="10">
        <v>0.1</v>
      </c>
      <c r="BA13" s="4">
        <v>18.2</v>
      </c>
      <c r="BB13" s="4">
        <v>58</v>
      </c>
      <c r="BC13" s="10">
        <v>8.94</v>
      </c>
      <c r="BD13" s="4">
        <v>41.5</v>
      </c>
      <c r="BE13" s="4">
        <v>11.2</v>
      </c>
      <c r="BF13" s="10">
        <v>2.2999999999999998</v>
      </c>
      <c r="BG13" s="4">
        <v>12.3</v>
      </c>
      <c r="BH13" s="10">
        <v>2.27</v>
      </c>
      <c r="BI13" s="4">
        <v>13.5</v>
      </c>
      <c r="BJ13" s="10">
        <v>3.02</v>
      </c>
      <c r="BK13" s="10">
        <v>9.2200000000000006</v>
      </c>
      <c r="BL13" s="9">
        <v>1.32</v>
      </c>
      <c r="BM13" s="10">
        <v>9.4</v>
      </c>
      <c r="BN13" s="10">
        <v>1.42</v>
      </c>
      <c r="BO13" s="9"/>
      <c r="BP13" s="10">
        <v>2.63</v>
      </c>
      <c r="BQ13" s="10">
        <v>0.64</v>
      </c>
      <c r="BR13" s="4">
        <v>19</v>
      </c>
      <c r="BS13" s="10">
        <v>1.1000000000000001</v>
      </c>
      <c r="BT13" s="9">
        <v>232</v>
      </c>
      <c r="BU13" s="4">
        <v>6.4</v>
      </c>
      <c r="BV13" s="9" t="s">
        <v>58</v>
      </c>
      <c r="BW13" s="9">
        <v>5</v>
      </c>
      <c r="BX13" s="9" t="s">
        <v>65</v>
      </c>
      <c r="BY13" s="9" t="s">
        <v>59</v>
      </c>
      <c r="BZ13" s="9">
        <v>0.2</v>
      </c>
      <c r="CA13" s="9" t="s">
        <v>63</v>
      </c>
      <c r="CB13" s="9" t="s">
        <v>60</v>
      </c>
      <c r="CC13" s="12">
        <v>1.7999999999999999E-2</v>
      </c>
      <c r="CD13" s="9" t="s">
        <v>61</v>
      </c>
      <c r="CE13" s="9" t="s">
        <v>67</v>
      </c>
      <c r="CF13" s="9">
        <v>0.3</v>
      </c>
      <c r="CG13" s="9" t="s">
        <v>63</v>
      </c>
      <c r="CH13" s="9" t="s">
        <v>64</v>
      </c>
      <c r="CI13" s="11">
        <f t="shared" si="26"/>
        <v>42.082968188828218</v>
      </c>
      <c r="CJ13" s="10">
        <f t="shared" si="27"/>
        <v>0.57906292014870886</v>
      </c>
      <c r="CK13" s="10">
        <f t="shared" si="13"/>
        <v>7.1180555555555552E-2</v>
      </c>
      <c r="CL13" s="4">
        <f t="shared" si="14"/>
        <v>6.17</v>
      </c>
      <c r="CM13" s="4">
        <f t="shared" si="16"/>
        <v>2.045990566037736</v>
      </c>
      <c r="CN13" s="4">
        <f t="shared" si="17"/>
        <v>2.7358490566037736</v>
      </c>
      <c r="CO13" s="4">
        <f t="shared" si="18"/>
        <v>17.27272727272727</v>
      </c>
      <c r="CP13" s="4">
        <f t="shared" si="19"/>
        <v>1.3152886255498699</v>
      </c>
      <c r="CQ13" s="4">
        <f t="shared" si="20"/>
        <v>1.9361702127659572</v>
      </c>
      <c r="CR13" s="10">
        <f t="shared" si="21"/>
        <v>1.4361702127659575</v>
      </c>
      <c r="CS13" s="12">
        <f t="shared" si="22"/>
        <v>0.59733129691363362</v>
      </c>
      <c r="CT13" s="4">
        <f t="shared" si="33"/>
        <v>0.42105263157894735</v>
      </c>
      <c r="CU13" s="38">
        <f t="shared" si="28"/>
        <v>981.88724880236384</v>
      </c>
      <c r="CV13" s="40">
        <f t="shared" si="15"/>
        <v>979.49663538823563</v>
      </c>
      <c r="CW13" s="4">
        <f t="shared" si="29"/>
        <v>48.49561670271077</v>
      </c>
      <c r="CX13" s="4">
        <f t="shared" si="30"/>
        <v>2.3710701026742274</v>
      </c>
      <c r="CY13" s="11">
        <f t="shared" si="31"/>
        <v>747.98484575138218</v>
      </c>
      <c r="CZ13" s="11">
        <f t="shared" si="32"/>
        <v>668.1767749492833</v>
      </c>
    </row>
    <row r="14" spans="1:104" ht="14" customHeight="1">
      <c r="A14" s="5" t="s">
        <v>107</v>
      </c>
      <c r="B14" s="3" t="s">
        <v>93</v>
      </c>
      <c r="C14" s="18" t="s">
        <v>124</v>
      </c>
      <c r="D14" s="15">
        <v>48.5</v>
      </c>
      <c r="E14" s="6">
        <v>0.98</v>
      </c>
      <c r="F14" s="15">
        <v>20.3</v>
      </c>
      <c r="G14" s="16">
        <v>9.93</v>
      </c>
      <c r="H14" s="6">
        <v>0.13</v>
      </c>
      <c r="I14" s="6">
        <v>4.29</v>
      </c>
      <c r="J14" s="15">
        <v>11.85</v>
      </c>
      <c r="K14" s="16">
        <v>2.4700000000000002</v>
      </c>
      <c r="L14" s="16">
        <v>0.2</v>
      </c>
      <c r="M14" s="6">
        <v>7.0000000000000007E-2</v>
      </c>
      <c r="N14" s="43">
        <v>0.01</v>
      </c>
      <c r="O14" s="43">
        <v>4.0000000000000001E-3</v>
      </c>
      <c r="P14" s="20">
        <v>0.03</v>
      </c>
      <c r="Q14" s="20"/>
      <c r="R14" s="4">
        <f t="shared" si="0"/>
        <v>49.108950992304578</v>
      </c>
      <c r="S14" s="10">
        <f t="shared" si="1"/>
        <v>0.99492385786802029</v>
      </c>
      <c r="T14" s="4">
        <f t="shared" si="2"/>
        <v>20.554880518428515</v>
      </c>
      <c r="U14" s="4">
        <f t="shared" si="3"/>
        <v>10.054678007290402</v>
      </c>
      <c r="V14" s="10">
        <f t="shared" si="4"/>
        <v>0.13163223977318753</v>
      </c>
      <c r="W14" s="10">
        <f t="shared" si="5"/>
        <v>4.3438639125151886</v>
      </c>
      <c r="X14" s="10">
        <f t="shared" si="6"/>
        <v>11.998784933171326</v>
      </c>
      <c r="Y14" s="10">
        <f t="shared" si="7"/>
        <v>2.5010125556905636</v>
      </c>
      <c r="Z14" s="10">
        <f t="shared" si="8"/>
        <v>0.20251113811259622</v>
      </c>
      <c r="AA14" s="10">
        <f t="shared" si="9"/>
        <v>7.0878898339408677E-2</v>
      </c>
      <c r="AB14" s="10">
        <f t="shared" si="10"/>
        <v>1.012555690562981E-2</v>
      </c>
      <c r="AC14" s="10">
        <f t="shared" si="11"/>
        <v>4.0502227622519248E-3</v>
      </c>
      <c r="AD14" s="10">
        <f t="shared" si="12"/>
        <v>3.0376670716889431E-2</v>
      </c>
      <c r="AE14" s="10"/>
      <c r="AF14" s="20">
        <v>0.03</v>
      </c>
      <c r="AG14" s="13">
        <v>0.01</v>
      </c>
      <c r="AH14" s="20">
        <v>2.4300000000000002</v>
      </c>
      <c r="AI14" s="19">
        <v>101.19</v>
      </c>
      <c r="AJ14" s="14">
        <f t="shared" si="23"/>
        <v>1660.2972399150742</v>
      </c>
      <c r="AK14" s="14">
        <f t="shared" si="24"/>
        <v>5873.472147445128</v>
      </c>
      <c r="AL14" s="14">
        <f t="shared" si="25"/>
        <v>305.46709877412991</v>
      </c>
      <c r="AM14" s="14">
        <v>68.8</v>
      </c>
      <c r="AN14" s="13">
        <v>10</v>
      </c>
      <c r="AO14" s="13">
        <v>22</v>
      </c>
      <c r="AP14" s="13">
        <v>592</v>
      </c>
      <c r="AQ14" s="13">
        <v>40</v>
      </c>
      <c r="AR14" s="13">
        <v>31</v>
      </c>
      <c r="AS14" s="13">
        <v>58</v>
      </c>
      <c r="AT14" s="13">
        <v>23</v>
      </c>
      <c r="AU14" s="13">
        <v>55</v>
      </c>
      <c r="AV14" s="19">
        <v>21.2</v>
      </c>
      <c r="AW14" s="13">
        <v>4.5999999999999996</v>
      </c>
      <c r="AX14" s="13">
        <v>268</v>
      </c>
      <c r="AY14" s="13">
        <v>9.6</v>
      </c>
      <c r="AZ14" s="13">
        <v>0.16</v>
      </c>
      <c r="BA14" s="19">
        <v>4.0999999999999996</v>
      </c>
      <c r="BB14" s="20">
        <v>9.3000000000000007</v>
      </c>
      <c r="BC14" s="13">
        <v>1.22</v>
      </c>
      <c r="BD14" s="13">
        <v>5.9</v>
      </c>
      <c r="BE14" s="13">
        <v>1.45</v>
      </c>
      <c r="BF14" s="13">
        <v>0.61</v>
      </c>
      <c r="BG14" s="13">
        <v>1.74</v>
      </c>
      <c r="BH14" s="13">
        <v>0.28000000000000003</v>
      </c>
      <c r="BI14" s="13">
        <v>1.59</v>
      </c>
      <c r="BJ14" s="13">
        <v>0.4</v>
      </c>
      <c r="BK14" s="13">
        <v>0.96</v>
      </c>
      <c r="BL14" s="13">
        <v>0.16</v>
      </c>
      <c r="BM14" s="13">
        <v>1.08</v>
      </c>
      <c r="BN14" s="13">
        <v>0.15</v>
      </c>
      <c r="BO14" s="6"/>
      <c r="BP14" s="13">
        <v>0.42</v>
      </c>
      <c r="BQ14" s="13">
        <v>0.12</v>
      </c>
      <c r="BR14" s="19">
        <v>2.2000000000000002</v>
      </c>
      <c r="BS14" s="20">
        <v>0.2</v>
      </c>
      <c r="BT14" s="13">
        <v>39</v>
      </c>
      <c r="BU14" s="19">
        <v>1</v>
      </c>
      <c r="BV14" s="13" t="s">
        <v>58</v>
      </c>
      <c r="BW14" s="13">
        <v>1</v>
      </c>
      <c r="BX14" s="13" t="s">
        <v>65</v>
      </c>
      <c r="BY14" s="13" t="s">
        <v>59</v>
      </c>
      <c r="BZ14" s="13">
        <v>0.1</v>
      </c>
      <c r="CA14" s="13" t="s">
        <v>63</v>
      </c>
      <c r="CB14" s="13" t="s">
        <v>60</v>
      </c>
      <c r="CC14" s="21" t="s">
        <v>60</v>
      </c>
      <c r="CD14" s="13" t="s">
        <v>61</v>
      </c>
      <c r="CE14" s="13" t="s">
        <v>67</v>
      </c>
      <c r="CF14" s="13">
        <v>0.3</v>
      </c>
      <c r="CG14" s="13">
        <v>0.02</v>
      </c>
      <c r="CH14" s="13" t="s">
        <v>64</v>
      </c>
      <c r="CI14" s="14">
        <f t="shared" si="26"/>
        <v>40.929891976548852</v>
      </c>
      <c r="CJ14" s="16">
        <f t="shared" si="27"/>
        <v>0.59830141020746341</v>
      </c>
      <c r="CK14" s="10">
        <f t="shared" si="13"/>
        <v>8.0971659919028341E-2</v>
      </c>
      <c r="CL14" s="4">
        <f t="shared" si="14"/>
        <v>2.6700000000000004</v>
      </c>
      <c r="CM14" s="4">
        <f t="shared" si="16"/>
        <v>27.916666666666668</v>
      </c>
      <c r="CN14" s="4">
        <f t="shared" si="17"/>
        <v>4.0625</v>
      </c>
      <c r="CO14" s="4">
        <f t="shared" si="18"/>
        <v>11</v>
      </c>
      <c r="CP14" s="4">
        <f t="shared" si="19"/>
        <v>2.5789185810282858</v>
      </c>
      <c r="CQ14" s="4">
        <f t="shared" si="20"/>
        <v>3.7962962962962958</v>
      </c>
      <c r="CR14" s="10">
        <f t="shared" si="21"/>
        <v>1.4722222222222221</v>
      </c>
      <c r="CS14" s="12">
        <f t="shared" si="22"/>
        <v>1.1706315124838362</v>
      </c>
      <c r="CT14" s="4">
        <f t="shared" si="33"/>
        <v>26.90909090909091</v>
      </c>
      <c r="CU14" s="38">
        <f t="shared" si="28"/>
        <v>586.71571401600374</v>
      </c>
      <c r="CV14" s="40">
        <f t="shared" si="15"/>
        <v>598.08679506140891</v>
      </c>
      <c r="CW14" s="4">
        <f t="shared" si="29"/>
        <v>54.3182265336889</v>
      </c>
      <c r="CX14" s="4">
        <f t="shared" si="30"/>
        <v>4.222907923616388</v>
      </c>
      <c r="CY14" s="11">
        <f t="shared" si="31"/>
        <v>533.59204737079131</v>
      </c>
      <c r="CZ14" s="11">
        <f t="shared" si="32"/>
        <v>415.90609280483568</v>
      </c>
    </row>
    <row r="15" spans="1:104" s="3" customFormat="1" ht="14" customHeight="1">
      <c r="A15" s="3" t="s">
        <v>126</v>
      </c>
      <c r="B15" s="3" t="s">
        <v>128</v>
      </c>
      <c r="C15" s="2" t="s">
        <v>87</v>
      </c>
      <c r="D15" s="9">
        <v>74.900000000000006</v>
      </c>
      <c r="E15" s="9">
        <v>0.13</v>
      </c>
      <c r="F15" s="4">
        <v>12.95</v>
      </c>
      <c r="G15" s="10">
        <v>3.24</v>
      </c>
      <c r="H15" s="9">
        <v>0.05</v>
      </c>
      <c r="I15" s="9">
        <v>0.2</v>
      </c>
      <c r="J15" s="10">
        <v>1.92</v>
      </c>
      <c r="K15" s="10">
        <v>4.4000000000000004</v>
      </c>
      <c r="L15" s="9">
        <v>0.79</v>
      </c>
      <c r="M15" s="9">
        <v>0.03</v>
      </c>
      <c r="N15" s="36">
        <v>0.04</v>
      </c>
      <c r="O15" s="84">
        <v>3.0000000000000001E-3</v>
      </c>
      <c r="P15" s="10">
        <v>0.01</v>
      </c>
      <c r="Q15" s="10"/>
      <c r="R15" s="4">
        <f t="shared" si="0"/>
        <v>75.917291708899256</v>
      </c>
      <c r="S15" s="10">
        <f t="shared" si="1"/>
        <v>0.13197969543147209</v>
      </c>
      <c r="T15" s="4">
        <f t="shared" si="2"/>
        <v>13.125886884248935</v>
      </c>
      <c r="U15" s="4">
        <f t="shared" si="3"/>
        <v>3.2840056760591927</v>
      </c>
      <c r="V15" s="10">
        <f t="shared" si="4"/>
        <v>5.0679099939185075E-2</v>
      </c>
      <c r="W15" s="10">
        <f t="shared" si="5"/>
        <v>0.2027163997567403</v>
      </c>
      <c r="X15" s="10">
        <f t="shared" si="6"/>
        <v>1.9460774376647068</v>
      </c>
      <c r="Y15" s="10">
        <f t="shared" si="7"/>
        <v>4.4597607946482869</v>
      </c>
      <c r="Z15" s="10">
        <f t="shared" si="8"/>
        <v>0.80072977903912412</v>
      </c>
      <c r="AA15" s="10">
        <f t="shared" si="9"/>
        <v>3.0407459963511043E-2</v>
      </c>
      <c r="AB15" s="10">
        <f t="shared" si="10"/>
        <v>4.0543279951348057E-2</v>
      </c>
      <c r="AC15" s="10">
        <f t="shared" si="11"/>
        <v>3.0407459963511046E-3</v>
      </c>
      <c r="AD15" s="10">
        <f t="shared" si="12"/>
        <v>1.0135819987837014E-2</v>
      </c>
      <c r="AE15" s="10"/>
      <c r="AF15" s="10">
        <v>0.02</v>
      </c>
      <c r="AG15" s="10">
        <v>0.12</v>
      </c>
      <c r="AH15" s="10">
        <v>1.02</v>
      </c>
      <c r="AI15" s="4">
        <v>99.68</v>
      </c>
      <c r="AJ15" s="11">
        <f t="shared" si="23"/>
        <v>6558.1740976645442</v>
      </c>
      <c r="AK15" s="11">
        <f t="shared" si="24"/>
        <v>779.13406037537425</v>
      </c>
      <c r="AL15" s="11">
        <f t="shared" si="25"/>
        <v>130.91447090319852</v>
      </c>
      <c r="AM15" s="11">
        <v>169.07142857142901</v>
      </c>
      <c r="AN15" s="23">
        <v>10</v>
      </c>
      <c r="AO15" s="23">
        <v>5</v>
      </c>
      <c r="AP15" s="23">
        <v>5</v>
      </c>
      <c r="AQ15" s="23">
        <v>20</v>
      </c>
      <c r="AR15" s="23">
        <v>2</v>
      </c>
      <c r="AS15" s="23" t="s">
        <v>65</v>
      </c>
      <c r="AT15" s="11">
        <v>718</v>
      </c>
      <c r="AU15" s="23">
        <v>82</v>
      </c>
      <c r="AV15" s="24">
        <v>18.7</v>
      </c>
      <c r="AW15" s="4">
        <v>35.700000000000003</v>
      </c>
      <c r="AX15" s="11">
        <v>130</v>
      </c>
      <c r="AY15" s="4">
        <v>50.9</v>
      </c>
      <c r="AZ15" s="4">
        <v>0.35</v>
      </c>
      <c r="BA15" s="4">
        <v>18</v>
      </c>
      <c r="BB15" s="4">
        <v>40.799999999999997</v>
      </c>
      <c r="BC15" s="4">
        <v>5.36</v>
      </c>
      <c r="BD15" s="4">
        <v>23.6</v>
      </c>
      <c r="BE15" s="4">
        <v>6.24</v>
      </c>
      <c r="BF15" s="4">
        <v>1.3</v>
      </c>
      <c r="BG15" s="4">
        <v>6.68</v>
      </c>
      <c r="BH15" s="4">
        <v>1.1399999999999999</v>
      </c>
      <c r="BI15" s="4">
        <v>7.69</v>
      </c>
      <c r="BJ15" s="4">
        <v>1.86</v>
      </c>
      <c r="BK15" s="4">
        <v>5.78</v>
      </c>
      <c r="BL15" s="4">
        <v>0.94</v>
      </c>
      <c r="BM15" s="4">
        <v>5.97</v>
      </c>
      <c r="BN15" s="4">
        <v>0.87</v>
      </c>
      <c r="BO15" s="9">
        <v>2</v>
      </c>
      <c r="BP15" s="10">
        <v>2.31</v>
      </c>
      <c r="BQ15" s="10">
        <v>0.6</v>
      </c>
      <c r="BR15" s="4">
        <v>11</v>
      </c>
      <c r="BS15" s="10">
        <v>0.8</v>
      </c>
      <c r="BT15" s="9">
        <v>185</v>
      </c>
      <c r="BU15" s="4">
        <v>5.3</v>
      </c>
      <c r="BV15" s="9" t="s">
        <v>58</v>
      </c>
      <c r="BW15" s="9">
        <v>6</v>
      </c>
      <c r="BX15" s="9">
        <v>1</v>
      </c>
      <c r="BY15" s="9">
        <v>1.4</v>
      </c>
      <c r="BZ15" s="9">
        <v>0.2</v>
      </c>
      <c r="CA15" s="9">
        <v>4.47</v>
      </c>
      <c r="CB15" s="9" t="s">
        <v>60</v>
      </c>
      <c r="CC15" s="12">
        <v>4.8000000000000001E-2</v>
      </c>
      <c r="CD15" s="9">
        <v>1E-3</v>
      </c>
      <c r="CE15" s="9">
        <v>0.05</v>
      </c>
      <c r="CF15" s="9">
        <v>0.4</v>
      </c>
      <c r="CG15" s="9">
        <v>0.35</v>
      </c>
      <c r="CH15" s="9">
        <v>0.02</v>
      </c>
      <c r="CI15" s="11">
        <f t="shared" si="26"/>
        <v>9.0084644546334314</v>
      </c>
      <c r="CJ15" s="10">
        <f t="shared" si="27"/>
        <v>0.8508702120346332</v>
      </c>
      <c r="CK15" s="10">
        <f t="shared" si="13"/>
        <v>0.17954545454545454</v>
      </c>
      <c r="CL15" s="4">
        <f t="shared" si="14"/>
        <v>5.19</v>
      </c>
      <c r="CM15" s="4">
        <f>AX15/AY15</f>
        <v>2.5540275049115913</v>
      </c>
      <c r="CN15" s="4">
        <f>BT15/AY15</f>
        <v>3.6345776031434185</v>
      </c>
      <c r="CO15" s="4">
        <f t="shared" si="18"/>
        <v>13.75</v>
      </c>
      <c r="CP15" s="4">
        <f>(BA15/0.237)/(BM15/0.161)</f>
        <v>2.0482157623560844</v>
      </c>
      <c r="CQ15" s="4">
        <f>BA15/BM15</f>
        <v>3.0150753768844223</v>
      </c>
      <c r="CR15" s="10">
        <f>BI15/BM15</f>
        <v>1.2881072026800671</v>
      </c>
      <c r="CS15" s="12">
        <f>(BF15/0.0563)/(((BE15/0.148)*(BG15/0.199))^(1/2))</f>
        <v>0.61377872016699575</v>
      </c>
      <c r="CT15" s="4">
        <f t="shared" si="33"/>
        <v>1</v>
      </c>
      <c r="CU15" s="39">
        <f t="shared" si="28"/>
        <v>841.84249308022902</v>
      </c>
      <c r="CV15" s="67">
        <f t="shared" si="15"/>
        <v>852.39908049468761</v>
      </c>
      <c r="CW15" s="4">
        <f t="shared" si="29"/>
        <v>46.548773355052418</v>
      </c>
      <c r="CX15" s="4">
        <f t="shared" si="30"/>
        <v>1.2927664569071913</v>
      </c>
      <c r="CY15" s="11">
        <f t="shared" si="31"/>
        <v>806.99627872440271</v>
      </c>
      <c r="CZ15" s="11">
        <f t="shared" si="32"/>
        <v>767.45452972340183</v>
      </c>
    </row>
    <row r="16" spans="1:104" s="3" customFormat="1" ht="14" customHeight="1">
      <c r="A16" s="3" t="s">
        <v>127</v>
      </c>
      <c r="B16" s="3" t="s">
        <v>128</v>
      </c>
      <c r="C16" s="2" t="s">
        <v>87</v>
      </c>
      <c r="D16" s="9">
        <v>76.099999999999994</v>
      </c>
      <c r="E16" s="9">
        <v>0.14000000000000001</v>
      </c>
      <c r="F16" s="4">
        <v>13.2</v>
      </c>
      <c r="G16" s="10">
        <v>1.93</v>
      </c>
      <c r="H16" s="9">
        <v>0.03</v>
      </c>
      <c r="I16" s="9">
        <v>0.28000000000000003</v>
      </c>
      <c r="J16" s="10">
        <v>1.9</v>
      </c>
      <c r="K16" s="9">
        <v>4.8099999999999996</v>
      </c>
      <c r="L16" s="9">
        <v>0.74</v>
      </c>
      <c r="M16" s="9">
        <v>0.03</v>
      </c>
      <c r="N16" s="36">
        <v>0.03</v>
      </c>
      <c r="O16" s="84">
        <v>2E-3</v>
      </c>
      <c r="P16" s="10">
        <v>0.01</v>
      </c>
      <c r="Q16" s="10"/>
      <c r="R16" s="4">
        <f t="shared" si="0"/>
        <v>76.713709677419345</v>
      </c>
      <c r="S16" s="10">
        <f t="shared" si="1"/>
        <v>0.14213197969543148</v>
      </c>
      <c r="T16" s="4">
        <f t="shared" si="2"/>
        <v>13.306451612903226</v>
      </c>
      <c r="U16" s="4">
        <f t="shared" si="3"/>
        <v>1.9455645161290323</v>
      </c>
      <c r="V16" s="10">
        <f t="shared" si="4"/>
        <v>3.0241935483870965E-2</v>
      </c>
      <c r="W16" s="10">
        <f t="shared" si="5"/>
        <v>0.28225806451612906</v>
      </c>
      <c r="X16" s="10">
        <f t="shared" si="6"/>
        <v>1.9153225806451613</v>
      </c>
      <c r="Y16" s="10">
        <f t="shared" si="7"/>
        <v>4.8487903225806441</v>
      </c>
      <c r="Z16" s="10">
        <f t="shared" si="8"/>
        <v>0.74596774193548387</v>
      </c>
      <c r="AA16" s="10">
        <f t="shared" si="9"/>
        <v>3.0241935483870965E-2</v>
      </c>
      <c r="AB16" s="10">
        <f t="shared" si="10"/>
        <v>3.0241935483870965E-2</v>
      </c>
      <c r="AC16" s="10">
        <f t="shared" si="11"/>
        <v>2.0161290322580645E-3</v>
      </c>
      <c r="AD16" s="10">
        <f t="shared" si="12"/>
        <v>1.0080645161290322E-2</v>
      </c>
      <c r="AE16" s="10"/>
      <c r="AF16" s="10">
        <v>0.05</v>
      </c>
      <c r="AG16" s="10">
        <v>0.01</v>
      </c>
      <c r="AH16" s="10">
        <v>1.07</v>
      </c>
      <c r="AI16" s="4">
        <v>100.27</v>
      </c>
      <c r="AJ16" s="11">
        <f t="shared" si="23"/>
        <v>6143.0997876857755</v>
      </c>
      <c r="AK16" s="11">
        <f t="shared" si="24"/>
        <v>839.06744963501842</v>
      </c>
      <c r="AL16" s="11">
        <f t="shared" si="25"/>
        <v>130.91447090319852</v>
      </c>
      <c r="AM16" s="11">
        <v>158</v>
      </c>
      <c r="AN16" s="23">
        <v>10</v>
      </c>
      <c r="AO16" s="23">
        <v>6</v>
      </c>
      <c r="AP16" s="23">
        <v>5</v>
      </c>
      <c r="AQ16" s="23">
        <v>20</v>
      </c>
      <c r="AR16" s="23">
        <v>2</v>
      </c>
      <c r="AS16" s="23" t="s">
        <v>65</v>
      </c>
      <c r="AT16" s="11">
        <v>9</v>
      </c>
      <c r="AU16" s="23">
        <v>38</v>
      </c>
      <c r="AV16" s="24">
        <v>18.600000000000001</v>
      </c>
      <c r="AW16" s="4">
        <v>30.7</v>
      </c>
      <c r="AX16" s="11">
        <v>122</v>
      </c>
      <c r="AY16" s="4">
        <v>60.2</v>
      </c>
      <c r="AZ16" s="4">
        <v>0.22</v>
      </c>
      <c r="BA16" s="4">
        <v>23.7</v>
      </c>
      <c r="BB16" s="4">
        <v>52.5</v>
      </c>
      <c r="BC16" s="4">
        <v>6.82</v>
      </c>
      <c r="BD16" s="4">
        <v>29.5</v>
      </c>
      <c r="BE16" s="4">
        <v>8.09</v>
      </c>
      <c r="BF16" s="4">
        <v>1.38</v>
      </c>
      <c r="BG16" s="4">
        <v>8.65</v>
      </c>
      <c r="BH16" s="4">
        <v>1.52</v>
      </c>
      <c r="BI16" s="4">
        <v>9.64</v>
      </c>
      <c r="BJ16" s="4">
        <v>2.09</v>
      </c>
      <c r="BK16" s="4">
        <v>7.03</v>
      </c>
      <c r="BL16" s="4">
        <v>1.08</v>
      </c>
      <c r="BM16" s="4">
        <v>7.28</v>
      </c>
      <c r="BN16" s="4">
        <v>1.0900000000000001</v>
      </c>
      <c r="BO16" s="9">
        <v>6</v>
      </c>
      <c r="BP16" s="10">
        <v>3.24</v>
      </c>
      <c r="BQ16" s="10">
        <v>0.71</v>
      </c>
      <c r="BR16" s="4">
        <v>10.9</v>
      </c>
      <c r="BS16" s="10">
        <v>0.9</v>
      </c>
      <c r="BT16" s="9">
        <v>191</v>
      </c>
      <c r="BU16" s="4">
        <v>5.8</v>
      </c>
      <c r="BV16" s="9" t="s">
        <v>58</v>
      </c>
      <c r="BW16" s="9">
        <v>3</v>
      </c>
      <c r="BX16" s="9">
        <v>1</v>
      </c>
      <c r="BY16" s="9" t="s">
        <v>59</v>
      </c>
      <c r="BZ16" s="9">
        <v>0.2</v>
      </c>
      <c r="CA16" s="9">
        <v>24.4</v>
      </c>
      <c r="CB16" s="9" t="s">
        <v>60</v>
      </c>
      <c r="CC16" s="12">
        <v>8.9999999999999993E-3</v>
      </c>
      <c r="CD16" s="9" t="s">
        <v>61</v>
      </c>
      <c r="CE16" s="9" t="s">
        <v>67</v>
      </c>
      <c r="CF16" s="9" t="s">
        <v>62</v>
      </c>
      <c r="CG16" s="9">
        <v>1.27</v>
      </c>
      <c r="CH16" s="9" t="s">
        <v>64</v>
      </c>
      <c r="CI16" s="11">
        <f t="shared" si="26"/>
        <v>18.876172762073619</v>
      </c>
      <c r="CJ16" s="10">
        <f t="shared" si="27"/>
        <v>0.8256716721866949</v>
      </c>
      <c r="CK16" s="10">
        <f t="shared" si="13"/>
        <v>0.15384615384615385</v>
      </c>
      <c r="CL16" s="4">
        <f t="shared" si="14"/>
        <v>5.55</v>
      </c>
      <c r="CM16" s="4">
        <f>AX16/AY16</f>
        <v>2.0265780730897007</v>
      </c>
      <c r="CN16" s="4">
        <f>BT16/AY16</f>
        <v>3.1727574750830563</v>
      </c>
      <c r="CO16" s="4">
        <f t="shared" si="18"/>
        <v>12.111111111111111</v>
      </c>
      <c r="CP16" s="4">
        <f>(BA16/0.237)/(BM16/0.161)</f>
        <v>2.2115384615384612</v>
      </c>
      <c r="CQ16" s="4">
        <f>BA16/BM16</f>
        <v>3.2554945054945055</v>
      </c>
      <c r="CR16" s="10">
        <f>BI16/BM16</f>
        <v>1.3241758241758241</v>
      </c>
      <c r="CS16" s="12">
        <f>(BF16/0.0563)/(((BE16/0.148)*(BG16/0.199))^(1/2))</f>
        <v>0.50285847377391402</v>
      </c>
      <c r="CT16" s="4">
        <f t="shared" si="33"/>
        <v>0.83333333333333337</v>
      </c>
      <c r="CU16" s="33">
        <f t="shared" si="28"/>
        <v>852.95515280061807</v>
      </c>
      <c r="CV16" s="40">
        <f t="shared" si="15"/>
        <v>859.21094915588026</v>
      </c>
      <c r="CW16" s="4">
        <f t="shared" si="29"/>
        <v>46.335995448404475</v>
      </c>
      <c r="CX16" s="4">
        <f t="shared" si="30"/>
        <v>1.2862188540191126</v>
      </c>
      <c r="CY16" s="11">
        <f t="shared" si="31"/>
        <v>810.39703676213855</v>
      </c>
      <c r="CZ16" s="11">
        <f t="shared" si="32"/>
        <v>771.70477960592041</v>
      </c>
    </row>
    <row r="17" spans="1:105" ht="14" customHeight="1">
      <c r="A17" s="3" t="s">
        <v>108</v>
      </c>
      <c r="B17" s="3" t="s">
        <v>94</v>
      </c>
      <c r="C17" s="3" t="s">
        <v>95</v>
      </c>
      <c r="D17" s="4">
        <v>61</v>
      </c>
      <c r="E17" s="9">
        <v>0.63</v>
      </c>
      <c r="F17" s="4">
        <v>18.399999999999999</v>
      </c>
      <c r="G17" s="10">
        <v>5.33</v>
      </c>
      <c r="H17" s="9">
        <v>7.0000000000000007E-2</v>
      </c>
      <c r="I17" s="9">
        <v>3.35</v>
      </c>
      <c r="J17" s="10">
        <v>6.14</v>
      </c>
      <c r="K17" s="10">
        <v>3.57</v>
      </c>
      <c r="L17" s="10">
        <v>0.88</v>
      </c>
      <c r="M17" s="9">
        <v>0.15</v>
      </c>
      <c r="N17" s="35">
        <v>0.03</v>
      </c>
      <c r="O17" s="35">
        <v>6.0000000000000001E-3</v>
      </c>
      <c r="P17" s="10">
        <v>0.04</v>
      </c>
      <c r="Q17" s="10"/>
      <c r="R17" s="4">
        <f t="shared" si="0"/>
        <v>61.24497991967872</v>
      </c>
      <c r="S17" s="10">
        <f t="shared" si="1"/>
        <v>0.63959390862944165</v>
      </c>
      <c r="T17" s="4">
        <f t="shared" si="2"/>
        <v>18.473895582329316</v>
      </c>
      <c r="U17" s="4">
        <f t="shared" si="3"/>
        <v>5.3514056224899598</v>
      </c>
      <c r="V17" s="10">
        <f t="shared" si="4"/>
        <v>7.0281124497991981E-2</v>
      </c>
      <c r="W17" s="10">
        <f t="shared" si="5"/>
        <v>3.3634538152610443</v>
      </c>
      <c r="X17" s="10">
        <f t="shared" si="6"/>
        <v>6.1646586345381529</v>
      </c>
      <c r="Y17" s="10">
        <f t="shared" si="7"/>
        <v>3.5843373493975905</v>
      </c>
      <c r="Z17" s="10">
        <f t="shared" si="8"/>
        <v>0.88353413654618473</v>
      </c>
      <c r="AA17" s="10">
        <f t="shared" si="9"/>
        <v>0.15060240963855423</v>
      </c>
      <c r="AB17" s="10">
        <f t="shared" si="10"/>
        <v>3.0120481927710847E-2</v>
      </c>
      <c r="AC17" s="10">
        <f t="shared" si="11"/>
        <v>6.024096385542169E-3</v>
      </c>
      <c r="AD17" s="10">
        <f t="shared" si="12"/>
        <v>4.0160642570281124E-2</v>
      </c>
      <c r="AE17" s="10"/>
      <c r="AF17" s="10">
        <v>0.02</v>
      </c>
      <c r="AG17" s="9">
        <v>0.11</v>
      </c>
      <c r="AH17" s="10">
        <v>2.11</v>
      </c>
      <c r="AI17" s="4">
        <v>101.71</v>
      </c>
      <c r="AJ17" s="11">
        <f t="shared" si="23"/>
        <v>7305.3078556263272</v>
      </c>
      <c r="AK17" s="11">
        <f t="shared" si="24"/>
        <v>3775.803523357582</v>
      </c>
      <c r="AL17" s="11">
        <f t="shared" si="25"/>
        <v>654.57235451599263</v>
      </c>
      <c r="AM17" s="11">
        <v>251</v>
      </c>
      <c r="AN17" s="9">
        <v>10</v>
      </c>
      <c r="AO17" s="9">
        <v>9</v>
      </c>
      <c r="AP17" s="9">
        <v>121</v>
      </c>
      <c r="AQ17" s="9">
        <v>50</v>
      </c>
      <c r="AR17" s="9">
        <v>18</v>
      </c>
      <c r="AS17" s="11">
        <v>42</v>
      </c>
      <c r="AT17" s="9">
        <v>59</v>
      </c>
      <c r="AU17" s="9">
        <v>86</v>
      </c>
      <c r="AV17" s="4">
        <v>23.5</v>
      </c>
      <c r="AW17" s="4">
        <v>22.6</v>
      </c>
      <c r="AX17" s="11">
        <v>337</v>
      </c>
      <c r="AY17" s="9">
        <v>7.5</v>
      </c>
      <c r="AZ17" s="17">
        <v>0.9</v>
      </c>
      <c r="BA17" s="4">
        <v>10.1</v>
      </c>
      <c r="BB17" s="4">
        <v>22.2</v>
      </c>
      <c r="BC17" s="10">
        <v>2.75</v>
      </c>
      <c r="BD17" s="10">
        <v>11.2</v>
      </c>
      <c r="BE17" s="10">
        <v>2.4700000000000002</v>
      </c>
      <c r="BF17" s="10">
        <v>0.82</v>
      </c>
      <c r="BG17" s="10">
        <v>1.94</v>
      </c>
      <c r="BH17" s="10">
        <v>0.26</v>
      </c>
      <c r="BI17" s="10">
        <v>1.38</v>
      </c>
      <c r="BJ17" s="10">
        <v>0.28999999999999998</v>
      </c>
      <c r="BK17" s="10">
        <v>0.73</v>
      </c>
      <c r="BL17" s="10">
        <v>0.13</v>
      </c>
      <c r="BM17" s="10">
        <v>0.75</v>
      </c>
      <c r="BN17" s="10">
        <v>0.09</v>
      </c>
      <c r="BO17" s="9"/>
      <c r="BP17" s="10">
        <v>1.1499999999999999</v>
      </c>
      <c r="BQ17" s="10">
        <v>0.32</v>
      </c>
      <c r="BR17" s="4">
        <v>5</v>
      </c>
      <c r="BS17" s="10">
        <v>0.4</v>
      </c>
      <c r="BT17" s="11">
        <v>77</v>
      </c>
      <c r="BU17" s="4">
        <v>2.2999999999999998</v>
      </c>
      <c r="BV17" s="9" t="s">
        <v>58</v>
      </c>
      <c r="BW17" s="9">
        <v>1</v>
      </c>
      <c r="BX17" s="9">
        <v>1</v>
      </c>
      <c r="BY17" s="9" t="s">
        <v>59</v>
      </c>
      <c r="BZ17" s="9">
        <v>0.4</v>
      </c>
      <c r="CA17" s="9">
        <v>0.2</v>
      </c>
      <c r="CB17" s="9" t="s">
        <v>60</v>
      </c>
      <c r="CC17" s="12">
        <v>8.0000000000000002E-3</v>
      </c>
      <c r="CD17" s="9" t="s">
        <v>61</v>
      </c>
      <c r="CE17" s="9">
        <v>0.05</v>
      </c>
      <c r="CF17" s="9" t="s">
        <v>62</v>
      </c>
      <c r="CG17" s="9">
        <v>0.04</v>
      </c>
      <c r="CH17" s="9" t="s">
        <v>64</v>
      </c>
      <c r="CI17" s="11">
        <f t="shared" si="26"/>
        <v>50.200461275904438</v>
      </c>
      <c r="CJ17" s="10">
        <f t="shared" si="27"/>
        <v>0.77853188779510674</v>
      </c>
      <c r="CK17" s="10">
        <f t="shared" si="13"/>
        <v>0.24649859943977592</v>
      </c>
      <c r="CL17" s="4">
        <f t="shared" si="14"/>
        <v>4.45</v>
      </c>
      <c r="CM17" s="4">
        <f t="shared" si="16"/>
        <v>44.93333333333333</v>
      </c>
      <c r="CN17" s="4">
        <f t="shared" si="17"/>
        <v>10.266666666666667</v>
      </c>
      <c r="CO17" s="4">
        <f t="shared" si="18"/>
        <v>12.5</v>
      </c>
      <c r="CP17" s="4">
        <f t="shared" si="19"/>
        <v>9.1482419127988734</v>
      </c>
      <c r="CQ17" s="4">
        <f t="shared" si="20"/>
        <v>13.466666666666667</v>
      </c>
      <c r="CR17" s="10">
        <f t="shared" si="21"/>
        <v>1.8399999999999999</v>
      </c>
      <c r="CS17" s="12">
        <f t="shared" si="22"/>
        <v>1.1418617147808705</v>
      </c>
      <c r="CT17" s="4">
        <f t="shared" si="33"/>
        <v>13.444444444444445</v>
      </c>
      <c r="CU17" s="37">
        <f t="shared" si="28"/>
        <v>846.46916790090461</v>
      </c>
      <c r="CV17" s="67">
        <f t="shared" si="15"/>
        <v>849.94166574687472</v>
      </c>
      <c r="CW17" s="4">
        <f t="shared" si="29"/>
        <v>51.227638314251735</v>
      </c>
      <c r="CX17" s="4">
        <f t="shared" si="30"/>
        <v>2.2424703364361016</v>
      </c>
      <c r="CY17" s="11">
        <f t="shared" si="31"/>
        <v>673.52604491656632</v>
      </c>
      <c r="CZ17" s="11">
        <f t="shared" si="32"/>
        <v>591.38817696190586</v>
      </c>
    </row>
    <row r="18" spans="1:105" ht="14" customHeight="1">
      <c r="A18" s="3" t="s">
        <v>109</v>
      </c>
      <c r="B18" s="3" t="s">
        <v>94</v>
      </c>
      <c r="C18" s="3" t="s">
        <v>96</v>
      </c>
      <c r="D18" s="4">
        <v>63.2</v>
      </c>
      <c r="E18" s="9">
        <v>0.56999999999999995</v>
      </c>
      <c r="F18" s="4">
        <v>17.55</v>
      </c>
      <c r="G18" s="10">
        <v>4.8499999999999996</v>
      </c>
      <c r="H18" s="9">
        <v>0.06</v>
      </c>
      <c r="I18" s="9">
        <v>2.77</v>
      </c>
      <c r="J18" s="10">
        <v>5.23</v>
      </c>
      <c r="K18" s="10">
        <v>4.5</v>
      </c>
      <c r="L18" s="10">
        <v>0.95</v>
      </c>
      <c r="M18" s="9">
        <v>0.14000000000000001</v>
      </c>
      <c r="N18" s="35">
        <v>0.03</v>
      </c>
      <c r="O18" s="35">
        <v>5.0000000000000001E-3</v>
      </c>
      <c r="P18" s="10">
        <v>0.04</v>
      </c>
      <c r="Q18" s="10"/>
      <c r="R18" s="4">
        <f t="shared" si="0"/>
        <v>63.263263263263269</v>
      </c>
      <c r="S18" s="10">
        <f t="shared" si="1"/>
        <v>0.57868020304568524</v>
      </c>
      <c r="T18" s="4">
        <f t="shared" si="2"/>
        <v>17.567567567567568</v>
      </c>
      <c r="U18" s="4">
        <f t="shared" si="3"/>
        <v>4.8548548548548549</v>
      </c>
      <c r="V18" s="10">
        <f t="shared" si="4"/>
        <v>6.0060060060060066E-2</v>
      </c>
      <c r="W18" s="10">
        <f t="shared" si="5"/>
        <v>2.7727727727727731</v>
      </c>
      <c r="X18" s="10">
        <f t="shared" si="6"/>
        <v>5.235235235235236</v>
      </c>
      <c r="Y18" s="10">
        <f t="shared" si="7"/>
        <v>4.5045045045045047</v>
      </c>
      <c r="Z18" s="10">
        <f t="shared" si="8"/>
        <v>0.95095095095095106</v>
      </c>
      <c r="AA18" s="10">
        <f t="shared" si="9"/>
        <v>0.14014014014014017</v>
      </c>
      <c r="AB18" s="10">
        <f t="shared" si="10"/>
        <v>3.0030030030030033E-2</v>
      </c>
      <c r="AC18" s="10">
        <f t="shared" si="11"/>
        <v>5.0050050050050058E-3</v>
      </c>
      <c r="AD18" s="10">
        <f t="shared" si="12"/>
        <v>4.0040040040040047E-2</v>
      </c>
      <c r="AE18" s="10"/>
      <c r="AF18" s="10">
        <v>0.01</v>
      </c>
      <c r="AG18" s="9">
        <v>0.01</v>
      </c>
      <c r="AH18" s="10">
        <v>1.92</v>
      </c>
      <c r="AI18" s="4">
        <v>101.82</v>
      </c>
      <c r="AJ18" s="11">
        <f t="shared" si="23"/>
        <v>7886.411889596603</v>
      </c>
      <c r="AK18" s="11">
        <f t="shared" si="24"/>
        <v>3416.2031877997169</v>
      </c>
      <c r="AL18" s="11">
        <f t="shared" si="25"/>
        <v>610.93419754825982</v>
      </c>
      <c r="AM18" s="11">
        <v>279</v>
      </c>
      <c r="AN18" s="9">
        <v>20</v>
      </c>
      <c r="AO18" s="9">
        <v>8</v>
      </c>
      <c r="AP18" s="9">
        <v>97</v>
      </c>
      <c r="AQ18" s="9">
        <v>40</v>
      </c>
      <c r="AR18" s="9">
        <v>14</v>
      </c>
      <c r="AS18" s="11">
        <v>32</v>
      </c>
      <c r="AT18" s="9">
        <v>48</v>
      </c>
      <c r="AU18" s="9">
        <v>68</v>
      </c>
      <c r="AV18" s="4">
        <v>21.1</v>
      </c>
      <c r="AW18" s="4">
        <v>26.4</v>
      </c>
      <c r="AX18" s="11">
        <v>350</v>
      </c>
      <c r="AY18" s="9">
        <v>8.5</v>
      </c>
      <c r="AZ18" s="17">
        <v>1.23</v>
      </c>
      <c r="BA18" s="4">
        <v>11</v>
      </c>
      <c r="BB18" s="4">
        <v>23.2</v>
      </c>
      <c r="BC18" s="10">
        <v>2.85</v>
      </c>
      <c r="BD18" s="10">
        <v>11.8</v>
      </c>
      <c r="BE18" s="10">
        <v>2.4700000000000002</v>
      </c>
      <c r="BF18" s="10">
        <v>0.7</v>
      </c>
      <c r="BG18" s="10">
        <v>1.99</v>
      </c>
      <c r="BH18" s="10">
        <v>0.27</v>
      </c>
      <c r="BI18" s="10">
        <v>1.53</v>
      </c>
      <c r="BJ18" s="10">
        <v>0.33</v>
      </c>
      <c r="BK18" s="10">
        <v>0.9</v>
      </c>
      <c r="BL18" s="10">
        <v>0.13</v>
      </c>
      <c r="BM18" s="10">
        <v>0.72</v>
      </c>
      <c r="BN18" s="10">
        <v>0.14000000000000001</v>
      </c>
      <c r="BO18" s="9"/>
      <c r="BP18" s="10">
        <v>1.61</v>
      </c>
      <c r="BQ18" s="10">
        <v>0.44</v>
      </c>
      <c r="BR18" s="4">
        <v>5.7</v>
      </c>
      <c r="BS18" s="10">
        <v>0.5</v>
      </c>
      <c r="BT18" s="11">
        <v>122</v>
      </c>
      <c r="BU18" s="4">
        <v>3.4</v>
      </c>
      <c r="BV18" s="9" t="s">
        <v>58</v>
      </c>
      <c r="BW18" s="9">
        <v>1</v>
      </c>
      <c r="BX18" s="9">
        <v>1</v>
      </c>
      <c r="BY18" s="9" t="s">
        <v>59</v>
      </c>
      <c r="BZ18" s="9" t="s">
        <v>68</v>
      </c>
      <c r="CA18" s="9">
        <v>0.02</v>
      </c>
      <c r="CB18" s="9" t="s">
        <v>60</v>
      </c>
      <c r="CC18" s="12">
        <v>6.0000000000000001E-3</v>
      </c>
      <c r="CD18" s="9">
        <v>1E-3</v>
      </c>
      <c r="CE18" s="9" t="s">
        <v>67</v>
      </c>
      <c r="CF18" s="9" t="s">
        <v>62</v>
      </c>
      <c r="CG18" s="9">
        <v>0.01</v>
      </c>
      <c r="CH18" s="9" t="s">
        <v>64</v>
      </c>
      <c r="CI18" s="11">
        <f t="shared" si="26"/>
        <v>47.808355278920487</v>
      </c>
      <c r="CJ18" s="10">
        <f t="shared" si="27"/>
        <v>0.74458814188813893</v>
      </c>
      <c r="CK18" s="10">
        <f t="shared" si="13"/>
        <v>0.21111111111111111</v>
      </c>
      <c r="CL18" s="4">
        <f t="shared" si="14"/>
        <v>5.45</v>
      </c>
      <c r="CM18" s="4">
        <f t="shared" si="16"/>
        <v>41.176470588235297</v>
      </c>
      <c r="CN18" s="4">
        <f t="shared" si="17"/>
        <v>14.352941176470589</v>
      </c>
      <c r="CO18" s="4">
        <f t="shared" si="18"/>
        <v>11.4</v>
      </c>
      <c r="CP18" s="4">
        <f t="shared" si="19"/>
        <v>10.378574777308957</v>
      </c>
      <c r="CQ18" s="4">
        <f t="shared" si="20"/>
        <v>15.277777777777779</v>
      </c>
      <c r="CR18" s="10">
        <f t="shared" si="21"/>
        <v>2.125</v>
      </c>
      <c r="CS18" s="12">
        <f t="shared" si="22"/>
        <v>0.96243636958441237</v>
      </c>
      <c r="CT18" s="4">
        <f t="shared" si="33"/>
        <v>12.125</v>
      </c>
      <c r="CU18" s="37">
        <f t="shared" si="28"/>
        <v>865.44987047122129</v>
      </c>
      <c r="CV18" s="67">
        <f t="shared" si="15"/>
        <v>866.30279740084222</v>
      </c>
      <c r="CW18" s="4">
        <f t="shared" si="29"/>
        <v>50.211961646664406</v>
      </c>
      <c r="CX18" s="4">
        <f t="shared" si="30"/>
        <v>2.1231116454909902</v>
      </c>
      <c r="CY18" s="11">
        <f t="shared" si="31"/>
        <v>714.22423443952664</v>
      </c>
      <c r="CZ18" s="11">
        <f t="shared" si="32"/>
        <v>638.04543473146839</v>
      </c>
    </row>
    <row r="19" spans="1:105" ht="14" customHeight="1">
      <c r="A19" s="3" t="s">
        <v>110</v>
      </c>
      <c r="B19" s="3" t="s">
        <v>94</v>
      </c>
      <c r="C19" s="3" t="s">
        <v>83</v>
      </c>
      <c r="D19" s="4">
        <v>63.1</v>
      </c>
      <c r="E19" s="9">
        <v>0.55000000000000004</v>
      </c>
      <c r="F19" s="4">
        <v>16.8</v>
      </c>
      <c r="G19" s="10">
        <v>4.53</v>
      </c>
      <c r="H19" s="9">
        <v>0.05</v>
      </c>
      <c r="I19" s="9">
        <v>2.2400000000000002</v>
      </c>
      <c r="J19" s="10">
        <v>5.13</v>
      </c>
      <c r="K19" s="10">
        <v>3.98</v>
      </c>
      <c r="L19" s="10">
        <v>0.91</v>
      </c>
      <c r="M19" s="9">
        <v>0.15</v>
      </c>
      <c r="N19" s="35">
        <v>0.04</v>
      </c>
      <c r="O19" s="35">
        <v>4.0000000000000001E-3</v>
      </c>
      <c r="P19" s="10">
        <v>0.03</v>
      </c>
      <c r="Q19" s="10"/>
      <c r="R19" s="4">
        <f t="shared" si="0"/>
        <v>64.711311660342531</v>
      </c>
      <c r="S19" s="10">
        <f t="shared" si="1"/>
        <v>0.55837563451776662</v>
      </c>
      <c r="T19" s="4">
        <f t="shared" si="2"/>
        <v>17.229002153625267</v>
      </c>
      <c r="U19" s="4">
        <f t="shared" si="3"/>
        <v>4.6456773664239561</v>
      </c>
      <c r="V19" s="10">
        <f t="shared" si="4"/>
        <v>5.127679212388473E-2</v>
      </c>
      <c r="W19" s="10">
        <f t="shared" si="5"/>
        <v>2.2972002871500359</v>
      </c>
      <c r="X19" s="10">
        <f t="shared" si="6"/>
        <v>5.2609988719105729</v>
      </c>
      <c r="Y19" s="10">
        <f t="shared" si="7"/>
        <v>4.0816326530612246</v>
      </c>
      <c r="Z19" s="10">
        <f t="shared" si="8"/>
        <v>0.93323761665470206</v>
      </c>
      <c r="AA19" s="10">
        <f t="shared" si="9"/>
        <v>0.15383037637165417</v>
      </c>
      <c r="AB19" s="10">
        <f t="shared" si="10"/>
        <v>4.1021433699107782E-2</v>
      </c>
      <c r="AC19" s="10">
        <f t="shared" si="11"/>
        <v>4.1021433699107782E-3</v>
      </c>
      <c r="AD19" s="10">
        <f t="shared" si="12"/>
        <v>3.0766075274330836E-2</v>
      </c>
      <c r="AE19" s="10"/>
      <c r="AF19" s="10">
        <v>0.02</v>
      </c>
      <c r="AG19" s="9" t="s">
        <v>63</v>
      </c>
      <c r="AH19" s="10">
        <v>1.89</v>
      </c>
      <c r="AI19" s="4">
        <v>99.4</v>
      </c>
      <c r="AJ19" s="11">
        <f t="shared" si="23"/>
        <v>7554.3524416135888</v>
      </c>
      <c r="AK19" s="11">
        <f t="shared" si="24"/>
        <v>3296.3364092804291</v>
      </c>
      <c r="AL19" s="11">
        <f t="shared" si="25"/>
        <v>654.57235451599263</v>
      </c>
      <c r="AM19" s="11">
        <v>350</v>
      </c>
      <c r="AN19" s="9">
        <v>10</v>
      </c>
      <c r="AO19" s="9">
        <v>7</v>
      </c>
      <c r="AP19" s="9">
        <v>95</v>
      </c>
      <c r="AQ19" s="9">
        <v>30</v>
      </c>
      <c r="AR19" s="9">
        <v>13</v>
      </c>
      <c r="AS19" s="11">
        <v>23</v>
      </c>
      <c r="AT19" s="9">
        <v>23</v>
      </c>
      <c r="AU19" s="9">
        <v>55</v>
      </c>
      <c r="AV19" s="4">
        <v>22.9</v>
      </c>
      <c r="AW19" s="4">
        <v>29.5</v>
      </c>
      <c r="AX19" s="11">
        <v>327</v>
      </c>
      <c r="AY19" s="9">
        <v>9.1999999999999993</v>
      </c>
      <c r="AZ19" s="17">
        <v>0.74</v>
      </c>
      <c r="BA19" s="4">
        <v>12.1</v>
      </c>
      <c r="BB19" s="4">
        <v>26</v>
      </c>
      <c r="BC19" s="10">
        <v>3.19</v>
      </c>
      <c r="BD19" s="10">
        <v>13.7</v>
      </c>
      <c r="BE19" s="10">
        <v>2.7</v>
      </c>
      <c r="BF19" s="10">
        <v>0.74</v>
      </c>
      <c r="BG19" s="10">
        <v>2.5099999999999998</v>
      </c>
      <c r="BH19" s="10">
        <v>0.32</v>
      </c>
      <c r="BI19" s="10">
        <v>1.42</v>
      </c>
      <c r="BJ19" s="10">
        <v>0.32</v>
      </c>
      <c r="BK19" s="10">
        <v>0.9</v>
      </c>
      <c r="BL19" s="10">
        <v>0.12</v>
      </c>
      <c r="BM19" s="10">
        <v>0.91</v>
      </c>
      <c r="BN19" s="10">
        <v>0.13</v>
      </c>
      <c r="BO19" s="9"/>
      <c r="BP19" s="10">
        <v>1.82</v>
      </c>
      <c r="BQ19" s="10">
        <v>0.55000000000000004</v>
      </c>
      <c r="BR19" s="4">
        <v>6.5</v>
      </c>
      <c r="BS19" s="10">
        <v>0.6</v>
      </c>
      <c r="BT19" s="11">
        <v>125</v>
      </c>
      <c r="BU19" s="4">
        <v>3.5</v>
      </c>
      <c r="BV19" s="9" t="s">
        <v>58</v>
      </c>
      <c r="BW19" s="9">
        <v>1</v>
      </c>
      <c r="BX19" s="9">
        <v>1</v>
      </c>
      <c r="BY19" s="9" t="s">
        <v>59</v>
      </c>
      <c r="BZ19" s="9">
        <v>0.4</v>
      </c>
      <c r="CA19" s="9">
        <v>0.02</v>
      </c>
      <c r="CB19" s="9" t="s">
        <v>60</v>
      </c>
      <c r="CC19" s="12">
        <v>8.0000000000000002E-3</v>
      </c>
      <c r="CD19" s="9" t="s">
        <v>61</v>
      </c>
      <c r="CE19" s="9" t="s">
        <v>67</v>
      </c>
      <c r="CF19" s="9">
        <v>0.3</v>
      </c>
      <c r="CG19" s="9" t="s">
        <v>63</v>
      </c>
      <c r="CH19" s="9" t="s">
        <v>64</v>
      </c>
      <c r="CI19" s="11">
        <f t="shared" si="26"/>
        <v>44.229904075533959</v>
      </c>
      <c r="CJ19" s="10">
        <f t="shared" si="27"/>
        <v>0.75845052981904537</v>
      </c>
      <c r="CK19" s="10">
        <f t="shared" si="13"/>
        <v>0.22864321608040203</v>
      </c>
      <c r="CL19" s="4">
        <f t="shared" si="14"/>
        <v>4.8899999999999997</v>
      </c>
      <c r="CM19" s="4">
        <f t="shared" si="16"/>
        <v>35.54347826086957</v>
      </c>
      <c r="CN19" s="4">
        <f t="shared" si="17"/>
        <v>13.586956521739131</v>
      </c>
      <c r="CO19" s="4">
        <f t="shared" si="18"/>
        <v>10.833333333333334</v>
      </c>
      <c r="CP19" s="4">
        <f t="shared" si="19"/>
        <v>9.0327815644271343</v>
      </c>
      <c r="CQ19" s="4">
        <f t="shared" si="20"/>
        <v>13.296703296703296</v>
      </c>
      <c r="CR19" s="10">
        <f t="shared" si="21"/>
        <v>1.5604395604395602</v>
      </c>
      <c r="CS19" s="12">
        <f t="shared" si="22"/>
        <v>0.86648685361737987</v>
      </c>
      <c r="CT19" s="4">
        <f t="shared" si="33"/>
        <v>13.571428571428571</v>
      </c>
      <c r="CU19" s="38">
        <f t="shared" si="28"/>
        <v>871.84901072152127</v>
      </c>
      <c r="CV19" s="40">
        <f t="shared" si="15"/>
        <v>893.25988706860846</v>
      </c>
      <c r="CW19" s="4">
        <f t="shared" si="29"/>
        <v>48.860013122638996</v>
      </c>
      <c r="CX19" s="4">
        <f t="shared" si="30"/>
        <v>2.0569123430256737</v>
      </c>
      <c r="CY19" s="11">
        <f t="shared" si="31"/>
        <v>720.35043084519089</v>
      </c>
      <c r="CZ19" s="11">
        <f t="shared" si="32"/>
        <v>646.42488098654121</v>
      </c>
    </row>
    <row r="20" spans="1:105" ht="14" customHeight="1">
      <c r="A20" s="3"/>
      <c r="B20" s="3"/>
      <c r="C20" s="3"/>
      <c r="D20" s="4"/>
      <c r="E20" s="9"/>
      <c r="F20" s="4"/>
      <c r="G20" s="4"/>
      <c r="H20" s="9"/>
      <c r="I20" s="9"/>
      <c r="J20" s="4"/>
      <c r="K20" s="10"/>
      <c r="L20" s="10"/>
      <c r="M20" s="9"/>
      <c r="N20" s="35"/>
      <c r="O20" s="35"/>
      <c r="P20" s="10"/>
      <c r="Q20" s="10"/>
      <c r="R20" s="4"/>
      <c r="S20" s="10"/>
      <c r="T20" s="4"/>
      <c r="U20" s="4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9"/>
      <c r="AH20" s="10"/>
      <c r="AI20" s="4"/>
      <c r="AJ20" s="11">
        <f t="shared" ref="AJ20:AJ22" si="34">L20*39.1*2/(39.1*2+16)*10000</f>
        <v>0</v>
      </c>
      <c r="AK20" s="11">
        <f t="shared" ref="AK20:AK22" si="35">E20*47.867/(47.867+32)*10000</f>
        <v>0</v>
      </c>
      <c r="AL20" s="11">
        <f t="shared" ref="AL20:AL22" si="36">M20*2*30.97/(2*30.97+16*5)*10000</f>
        <v>0</v>
      </c>
      <c r="AM20" s="11"/>
      <c r="AN20" s="9"/>
      <c r="AO20" s="9"/>
      <c r="AP20" s="9"/>
      <c r="AQ20" s="9"/>
      <c r="AR20" s="9"/>
      <c r="AS20" s="11"/>
      <c r="AT20" s="9"/>
      <c r="AU20" s="9"/>
      <c r="AV20" s="4"/>
      <c r="AW20" s="4"/>
      <c r="AX20" s="11"/>
      <c r="AY20" s="9"/>
      <c r="AZ20" s="17"/>
      <c r="BA20" s="4"/>
      <c r="BB20" s="4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9"/>
      <c r="BP20" s="10"/>
      <c r="BQ20" s="10"/>
      <c r="BR20" s="4"/>
      <c r="BS20" s="10"/>
      <c r="BT20" s="11"/>
      <c r="BU20" s="4"/>
      <c r="BV20" s="9"/>
      <c r="BW20" s="9"/>
      <c r="BX20" s="9"/>
      <c r="BY20" s="9"/>
      <c r="BZ20" s="9"/>
      <c r="CA20" s="9"/>
      <c r="CB20" s="9"/>
      <c r="CC20" s="12"/>
      <c r="CD20" s="9"/>
      <c r="CE20" s="9"/>
      <c r="CF20" s="9"/>
      <c r="CG20" s="9"/>
      <c r="CH20" s="9"/>
      <c r="CI20" s="11"/>
      <c r="CJ20" s="10"/>
      <c r="CK20" s="10"/>
      <c r="CL20" s="4"/>
      <c r="CM20" s="4"/>
      <c r="CN20" s="4"/>
      <c r="CO20" s="4"/>
      <c r="CP20" s="4"/>
      <c r="CQ20" s="4"/>
      <c r="CR20" s="4"/>
      <c r="CS20" s="10"/>
      <c r="CT20" s="4"/>
      <c r="CU20" s="83"/>
      <c r="CV20" s="40"/>
      <c r="CW20" s="4"/>
      <c r="CX20" s="4"/>
      <c r="CY20" s="11"/>
      <c r="CZ20" s="11"/>
    </row>
    <row r="21" spans="1:105" ht="14" customHeight="1">
      <c r="A21" s="34" t="s">
        <v>214</v>
      </c>
      <c r="B21" s="3"/>
      <c r="C21" s="3"/>
      <c r="D21" s="4"/>
      <c r="E21" s="9"/>
      <c r="F21" s="4"/>
      <c r="G21" s="4"/>
      <c r="H21" s="9"/>
      <c r="I21" s="9"/>
      <c r="J21" s="4"/>
      <c r="K21" s="10"/>
      <c r="L21" s="10"/>
      <c r="M21" s="9"/>
      <c r="N21" s="35"/>
      <c r="O21" s="35"/>
      <c r="P21" s="10"/>
      <c r="Q21" s="10"/>
      <c r="R21" s="4"/>
      <c r="S21" s="10"/>
      <c r="T21" s="4"/>
      <c r="U21" s="4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9"/>
      <c r="AH21" s="10"/>
      <c r="AI21" s="4"/>
      <c r="AJ21" s="11">
        <f t="shared" si="34"/>
        <v>0</v>
      </c>
      <c r="AK21" s="11">
        <f t="shared" si="35"/>
        <v>0</v>
      </c>
      <c r="AL21" s="11">
        <f t="shared" si="36"/>
        <v>0</v>
      </c>
      <c r="AM21" s="11"/>
      <c r="AN21" s="9"/>
      <c r="AO21" s="9"/>
      <c r="AP21" s="9"/>
      <c r="AQ21" s="9"/>
      <c r="AR21" s="9"/>
      <c r="AS21" s="11"/>
      <c r="AT21" s="9"/>
      <c r="AU21" s="9"/>
      <c r="AV21" s="4"/>
      <c r="AW21" s="4"/>
      <c r="AX21" s="11"/>
      <c r="AY21" s="9"/>
      <c r="AZ21" s="17"/>
      <c r="BA21" s="4"/>
      <c r="BB21" s="4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9"/>
      <c r="BP21" s="10"/>
      <c r="BQ21" s="10"/>
      <c r="BR21" s="4"/>
      <c r="BS21" s="10"/>
      <c r="BT21" s="11"/>
      <c r="BU21" s="4"/>
      <c r="BV21" s="9"/>
      <c r="BW21" s="9"/>
      <c r="BX21" s="9"/>
      <c r="BY21" s="9"/>
      <c r="BZ21" s="9"/>
      <c r="CA21" s="9"/>
      <c r="CB21" s="9"/>
      <c r="CC21" s="12"/>
      <c r="CD21" s="9"/>
      <c r="CE21" s="9"/>
      <c r="CF21" s="9"/>
      <c r="CG21" s="9"/>
      <c r="CH21" s="9"/>
      <c r="CI21" s="11"/>
      <c r="CJ21" s="10"/>
      <c r="CK21" s="10"/>
      <c r="CL21" s="4"/>
      <c r="CM21" s="4"/>
      <c r="CN21" s="4"/>
      <c r="CO21" s="4"/>
      <c r="CP21" s="4"/>
      <c r="CQ21" s="4"/>
      <c r="CR21" s="4"/>
      <c r="CS21" s="10"/>
      <c r="CT21" s="4"/>
      <c r="CU21" s="38"/>
      <c r="CV21" s="40"/>
      <c r="CW21" s="4"/>
      <c r="CX21" s="4"/>
      <c r="CY21" s="11"/>
      <c r="CZ21" s="11"/>
    </row>
    <row r="22" spans="1:105" s="81" customFormat="1" ht="14" customHeight="1">
      <c r="A22" s="18" t="s">
        <v>215</v>
      </c>
      <c r="B22" s="18"/>
      <c r="C22" s="18"/>
      <c r="D22" s="15">
        <v>49.3</v>
      </c>
      <c r="E22" s="6">
        <v>1.1100000000000001</v>
      </c>
      <c r="F22" s="15">
        <v>15.35</v>
      </c>
      <c r="G22" s="15">
        <v>13.4</v>
      </c>
      <c r="H22" s="6">
        <v>0.18</v>
      </c>
      <c r="I22" s="6">
        <v>7.35</v>
      </c>
      <c r="J22" s="15">
        <v>10.1</v>
      </c>
      <c r="K22" s="16">
        <v>2.44</v>
      </c>
      <c r="L22" s="16">
        <v>0.46</v>
      </c>
      <c r="M22" s="6">
        <v>0.11</v>
      </c>
      <c r="N22" s="82">
        <v>0.02</v>
      </c>
      <c r="O22" s="82">
        <v>2.3E-2</v>
      </c>
      <c r="P22" s="16">
        <v>0.02</v>
      </c>
      <c r="Q22" s="16"/>
      <c r="R22" s="4">
        <f t="shared" ref="R22" si="37">100*D22/(AI22-AH22)</f>
        <v>49.36911676346886</v>
      </c>
      <c r="S22" s="10">
        <f t="shared" ref="S22" si="38">100*E22/(AI$3-AH$3)</f>
        <v>1.1269035532994924</v>
      </c>
      <c r="T22" s="4">
        <f t="shared" ref="T22" si="39">100*F22/(AI22-AH22)</f>
        <v>15.371520128179451</v>
      </c>
      <c r="U22" s="4">
        <f t="shared" ref="U22" si="40">100*G22/(AI22-AH22)</f>
        <v>13.41878630082115</v>
      </c>
      <c r="V22" s="10">
        <f t="shared" ref="V22" si="41">100*H22/(AI22-AH22)</f>
        <v>0.18025235329461245</v>
      </c>
      <c r="W22" s="10">
        <f t="shared" ref="W22" si="42">100*I22/(AI22-AH22)</f>
        <v>7.3603044261966755</v>
      </c>
      <c r="X22" s="10">
        <f t="shared" ref="X22" si="43">100*J22/(AI22-AH22)</f>
        <v>10.114159823753255</v>
      </c>
      <c r="Y22" s="10">
        <f t="shared" ref="Y22" si="44">100*K22/(AI22-AH22)</f>
        <v>2.4434207891047466</v>
      </c>
      <c r="Z22" s="10">
        <f t="shared" ref="Z22" si="45">100*L22/(AI22-AH22)</f>
        <v>0.46064490286400961</v>
      </c>
      <c r="AA22" s="10">
        <f t="shared" ref="AA22" si="46">100*M22/(AI22-AH22)</f>
        <v>0.11015421590226317</v>
      </c>
      <c r="AB22" s="10">
        <f t="shared" ref="AB22" si="47">100*N22/(AI22-AH22)</f>
        <v>2.0028039254956938E-2</v>
      </c>
      <c r="AC22" s="10">
        <f t="shared" ref="AC22" si="48">100*O22/(AI22-AH22)</f>
        <v>2.3032245143200479E-2</v>
      </c>
      <c r="AD22" s="10">
        <f t="shared" ref="AD22" si="49">100*P22/(AI22-AH22)</f>
        <v>2.0028039254956938E-2</v>
      </c>
      <c r="AE22" s="16"/>
      <c r="AF22" s="16">
        <v>0.02</v>
      </c>
      <c r="AG22" s="6">
        <v>0.03</v>
      </c>
      <c r="AH22" s="16">
        <v>0.18</v>
      </c>
      <c r="AI22" s="15">
        <v>100.04</v>
      </c>
      <c r="AJ22" s="14">
        <f t="shared" si="34"/>
        <v>3818.6836518046707</v>
      </c>
      <c r="AK22" s="14">
        <f t="shared" si="35"/>
        <v>6652.6062078205032</v>
      </c>
      <c r="AL22" s="14">
        <f t="shared" si="36"/>
        <v>480.01972664506127</v>
      </c>
      <c r="AM22" s="14">
        <v>142.5</v>
      </c>
      <c r="AN22" s="6">
        <v>10</v>
      </c>
      <c r="AO22" s="6">
        <v>32</v>
      </c>
      <c r="AP22" s="6">
        <v>323</v>
      </c>
      <c r="AQ22" s="6">
        <v>180</v>
      </c>
      <c r="AR22" s="6">
        <v>61</v>
      </c>
      <c r="AS22" s="14">
        <v>173</v>
      </c>
      <c r="AT22" s="6">
        <v>194</v>
      </c>
      <c r="AU22" s="6">
        <v>118</v>
      </c>
      <c r="AV22" s="15">
        <v>20.100000000000001</v>
      </c>
      <c r="AW22" s="15">
        <v>13.1</v>
      </c>
      <c r="AX22" s="14">
        <v>171.5</v>
      </c>
      <c r="AY22" s="6">
        <v>21.9</v>
      </c>
      <c r="AZ22" s="80">
        <v>0.57999999999999996</v>
      </c>
      <c r="BA22" s="15">
        <v>8.5</v>
      </c>
      <c r="BB22" s="15">
        <v>18.5</v>
      </c>
      <c r="BC22" s="16">
        <v>2.5099999999999998</v>
      </c>
      <c r="BD22" s="16">
        <v>10.8</v>
      </c>
      <c r="BE22" s="16">
        <v>3.23</v>
      </c>
      <c r="BF22" s="16">
        <v>1.1200000000000001</v>
      </c>
      <c r="BG22" s="16">
        <v>3.89</v>
      </c>
      <c r="BH22" s="16">
        <v>0.56999999999999995</v>
      </c>
      <c r="BI22" s="16">
        <v>3.9</v>
      </c>
      <c r="BJ22" s="16">
        <v>0.87</v>
      </c>
      <c r="BK22" s="16">
        <v>2.36</v>
      </c>
      <c r="BL22" s="16">
        <v>0.36</v>
      </c>
      <c r="BM22" s="16">
        <v>2.19</v>
      </c>
      <c r="BN22" s="16">
        <v>0.32</v>
      </c>
      <c r="BO22" s="6" t="s">
        <v>84</v>
      </c>
      <c r="BP22" s="16">
        <v>1.44</v>
      </c>
      <c r="BQ22" s="16">
        <v>0.45</v>
      </c>
      <c r="BR22" s="15">
        <v>4.3</v>
      </c>
      <c r="BS22" s="16">
        <v>0.4</v>
      </c>
      <c r="BT22" s="14">
        <v>88</v>
      </c>
      <c r="BU22" s="15">
        <v>2.4</v>
      </c>
      <c r="BV22" s="6" t="s">
        <v>58</v>
      </c>
      <c r="BW22" s="6">
        <v>1</v>
      </c>
      <c r="BX22" s="6">
        <v>1</v>
      </c>
      <c r="BY22" s="6" t="s">
        <v>59</v>
      </c>
      <c r="BZ22" s="6">
        <v>0.8</v>
      </c>
      <c r="CA22" s="6">
        <v>0.03</v>
      </c>
      <c r="CB22" s="6" t="s">
        <v>60</v>
      </c>
      <c r="CC22" s="72">
        <v>1.7999999999999999E-2</v>
      </c>
      <c r="CD22" s="6">
        <v>1E-3</v>
      </c>
      <c r="CE22" s="6">
        <v>0.05</v>
      </c>
      <c r="CF22" s="6">
        <v>0.3</v>
      </c>
      <c r="CG22" s="6" t="s">
        <v>63</v>
      </c>
      <c r="CH22" s="6">
        <v>0.08</v>
      </c>
      <c r="CI22" s="14"/>
      <c r="CJ22" s="16"/>
      <c r="CK22" s="16"/>
      <c r="CL22" s="15"/>
      <c r="CM22" s="15"/>
      <c r="CN22" s="15"/>
      <c r="CO22" s="15"/>
      <c r="CP22" s="15"/>
      <c r="CQ22" s="15"/>
      <c r="CR22" s="15"/>
      <c r="CS22" s="16"/>
      <c r="CT22" s="15"/>
      <c r="CU22" s="38"/>
      <c r="CV22" s="40"/>
      <c r="CW22" s="15"/>
      <c r="CX22" s="15"/>
      <c r="CY22" s="14"/>
      <c r="CZ22" s="14"/>
    </row>
    <row r="23" spans="1:105" ht="14" customHeight="1">
      <c r="A23" s="3"/>
      <c r="B23" s="3"/>
      <c r="C23" s="3"/>
      <c r="D23" s="4"/>
      <c r="E23" s="9"/>
      <c r="F23" s="4"/>
      <c r="G23" s="4"/>
      <c r="H23" s="9"/>
      <c r="I23" s="9"/>
      <c r="J23" s="4"/>
      <c r="K23" s="10"/>
      <c r="L23" s="10"/>
      <c r="M23" s="9"/>
      <c r="N23" s="35"/>
      <c r="O23" s="35"/>
      <c r="P23" s="10"/>
      <c r="Q23" s="10"/>
      <c r="R23" s="4"/>
      <c r="S23" s="10"/>
      <c r="T23" s="4"/>
      <c r="U23" s="4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9"/>
      <c r="AH23" s="10"/>
      <c r="AI23" s="4"/>
      <c r="AJ23" s="11"/>
      <c r="AK23" s="11"/>
      <c r="AL23" s="11"/>
      <c r="AM23" s="11"/>
      <c r="AN23" s="9"/>
      <c r="AO23" s="9"/>
      <c r="AP23" s="9"/>
      <c r="AQ23" s="9"/>
      <c r="AR23" s="9"/>
      <c r="AS23" s="11"/>
      <c r="AT23" s="9"/>
      <c r="AU23" s="9"/>
      <c r="AV23" s="4"/>
      <c r="AW23" s="4"/>
      <c r="AX23" s="11"/>
      <c r="AY23" s="9"/>
      <c r="AZ23" s="17"/>
      <c r="BA23" s="4"/>
      <c r="BB23" s="4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9"/>
      <c r="BP23" s="10"/>
      <c r="BQ23" s="10"/>
      <c r="BR23" s="4"/>
      <c r="BS23" s="10"/>
      <c r="BT23" s="11"/>
      <c r="BU23" s="4"/>
      <c r="BV23" s="9"/>
      <c r="BW23" s="9"/>
      <c r="BX23" s="9"/>
      <c r="BY23" s="9"/>
      <c r="BZ23" s="9"/>
      <c r="CA23" s="9"/>
      <c r="CB23" s="9"/>
      <c r="CC23" s="12"/>
      <c r="CD23" s="9"/>
      <c r="CE23" s="9"/>
      <c r="CF23" s="9"/>
      <c r="CG23" s="9"/>
      <c r="CH23" s="9"/>
      <c r="CI23" s="11"/>
      <c r="CJ23" s="10"/>
      <c r="CK23" s="10"/>
      <c r="CL23" s="4"/>
      <c r="CM23" s="4"/>
      <c r="CN23" s="4"/>
      <c r="CO23" s="4"/>
      <c r="CP23" s="4"/>
      <c r="CQ23" s="4"/>
      <c r="CR23" s="4"/>
      <c r="CS23" s="10"/>
      <c r="CT23" s="4"/>
      <c r="CU23" s="38"/>
      <c r="CV23" s="40"/>
      <c r="CW23" s="4"/>
      <c r="CX23" s="4"/>
      <c r="CY23" s="11"/>
      <c r="CZ23" s="11"/>
    </row>
    <row r="24" spans="1:105" ht="14" customHeight="1">
      <c r="A24" s="34" t="s">
        <v>213</v>
      </c>
      <c r="B24" s="3"/>
      <c r="C24" s="3"/>
      <c r="D24" s="4"/>
      <c r="E24" s="9"/>
      <c r="F24" s="4"/>
      <c r="G24" s="4"/>
      <c r="H24" s="9"/>
      <c r="I24" s="9"/>
      <c r="J24" s="4"/>
      <c r="K24" s="10"/>
      <c r="L24" s="10"/>
      <c r="M24" s="9"/>
      <c r="N24" s="35"/>
      <c r="O24" s="35"/>
      <c r="P24" s="10"/>
      <c r="Q24" s="10"/>
      <c r="R24" s="4"/>
      <c r="S24" s="10"/>
      <c r="T24" s="4"/>
      <c r="U24" s="4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9"/>
      <c r="AH24" s="10"/>
      <c r="AI24" s="4"/>
      <c r="AJ24" s="11"/>
      <c r="AK24" s="11"/>
      <c r="AL24" s="11"/>
      <c r="AM24" s="11"/>
      <c r="AN24" s="9"/>
      <c r="AO24" s="9"/>
      <c r="AP24" s="9"/>
      <c r="AQ24" s="9"/>
      <c r="AR24" s="9"/>
      <c r="AS24" s="11"/>
      <c r="AT24" s="9"/>
      <c r="AU24" s="9"/>
      <c r="AV24" s="4"/>
      <c r="AW24" s="4"/>
      <c r="AX24" s="11"/>
      <c r="AY24" s="9"/>
      <c r="AZ24" s="17"/>
      <c r="BA24" s="4"/>
      <c r="BB24" s="4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9"/>
      <c r="BP24" s="10"/>
      <c r="BQ24" s="10"/>
      <c r="BR24" s="4"/>
      <c r="BS24" s="10"/>
      <c r="BT24" s="11"/>
      <c r="BU24" s="4"/>
      <c r="BV24" s="9"/>
      <c r="BW24" s="9"/>
      <c r="BX24" s="9"/>
      <c r="BY24" s="9"/>
      <c r="BZ24" s="9"/>
      <c r="CA24" s="9"/>
      <c r="CB24" s="9"/>
      <c r="CC24" s="12"/>
      <c r="CD24" s="9"/>
      <c r="CE24" s="9"/>
      <c r="CF24" s="9"/>
      <c r="CG24" s="9"/>
      <c r="CH24" s="9"/>
      <c r="CI24" s="11"/>
      <c r="CJ24" s="10"/>
      <c r="CK24" s="10"/>
      <c r="CL24" s="4"/>
      <c r="CM24" s="4"/>
      <c r="CN24" s="4"/>
      <c r="CO24" s="4"/>
      <c r="CP24" s="4"/>
      <c r="CQ24" s="4"/>
      <c r="CR24" s="4"/>
      <c r="CS24" s="10"/>
      <c r="CT24" s="4"/>
      <c r="CU24" s="38"/>
      <c r="CV24" s="40"/>
      <c r="CW24" s="4"/>
      <c r="CX24" s="4"/>
      <c r="CY24" s="11"/>
      <c r="CZ24" s="11"/>
    </row>
    <row r="25" spans="1:105" s="2" customFormat="1" ht="14" customHeight="1">
      <c r="A25" s="3" t="s">
        <v>211</v>
      </c>
      <c r="B25" s="3"/>
      <c r="C25" s="3"/>
      <c r="D25" s="2">
        <v>49.9</v>
      </c>
      <c r="E25" s="2">
        <v>1.1200000000000001</v>
      </c>
      <c r="F25" s="2">
        <v>15.25</v>
      </c>
      <c r="G25" s="2">
        <v>11.4</v>
      </c>
      <c r="H25" s="2">
        <v>0.14000000000000001</v>
      </c>
      <c r="I25" s="2">
        <v>7.02</v>
      </c>
      <c r="J25" s="2">
        <v>10.25</v>
      </c>
      <c r="K25" s="2">
        <v>2.4500000000000002</v>
      </c>
      <c r="L25" s="2">
        <v>1.0900000000000001</v>
      </c>
      <c r="M25" s="2">
        <v>0.13</v>
      </c>
      <c r="N25" s="2">
        <v>0.02</v>
      </c>
      <c r="O25" s="2">
        <v>5.2999999999999999E-2</v>
      </c>
      <c r="P25" s="2">
        <v>0.04</v>
      </c>
      <c r="R25" s="4">
        <f t="shared" ref="R25" si="50">100*D25/(AI25-AH25)</f>
        <v>50.475419785555331</v>
      </c>
      <c r="S25" s="10">
        <f t="shared" ref="S25" si="51">100*E25/(AI$3-AH$3)</f>
        <v>1.1370558375634519</v>
      </c>
      <c r="T25" s="4">
        <f t="shared" ref="T25" si="52">100*F25/(AI25-AH25)</f>
        <v>15.425854744082541</v>
      </c>
      <c r="U25" s="4">
        <f t="shared" ref="U25" si="53">100*G25/(AI25-AH25)</f>
        <v>11.531458628363342</v>
      </c>
      <c r="V25" s="10">
        <f t="shared" ref="V25" si="54">100*H25/(AI25-AH25)</f>
        <v>0.14161440420797089</v>
      </c>
      <c r="W25" s="10">
        <f t="shared" ref="W25" si="55">100*I25/(AI25-AH25)</f>
        <v>7.1009508395711105</v>
      </c>
      <c r="X25" s="10">
        <f t="shared" ref="X25" si="56">100*J25/(AI25-AH25)</f>
        <v>10.368197450940725</v>
      </c>
      <c r="Y25" s="10">
        <f t="shared" ref="Y25" si="57">100*K25/(AI25-AH25)</f>
        <v>2.4782520736394904</v>
      </c>
      <c r="Z25" s="10">
        <f t="shared" ref="Z25" si="58">100*L25/(AI25-AH25)</f>
        <v>1.1025692899049162</v>
      </c>
      <c r="AA25" s="10">
        <f t="shared" ref="AA25" si="59">100*M25/(AI25-AH25)</f>
        <v>0.13149908962168724</v>
      </c>
      <c r="AB25" s="10">
        <f t="shared" ref="AB25" si="60">100*N25/(AI25-AH25)</f>
        <v>2.0230629172567266E-2</v>
      </c>
      <c r="AC25" s="10">
        <f t="shared" ref="AC25" si="61">100*O25/(AI25-AH25)</f>
        <v>5.3611167307303254E-2</v>
      </c>
      <c r="AD25" s="10">
        <f t="shared" ref="AD25" si="62">100*P25/(AI25-AH25)</f>
        <v>4.0461258345134532E-2</v>
      </c>
      <c r="AE25" s="10"/>
      <c r="AF25" s="2">
        <v>0.05</v>
      </c>
      <c r="AG25" s="2" t="s">
        <v>63</v>
      </c>
      <c r="AH25" s="2">
        <v>2.13</v>
      </c>
      <c r="AI25" s="2">
        <v>100.99</v>
      </c>
      <c r="AJ25" s="11">
        <f t="shared" ref="AJ25:AJ26" si="63">L25*39.1*2/(39.1*2+16)*10000</f>
        <v>9048.6199575371556</v>
      </c>
      <c r="AK25" s="11">
        <f t="shared" ref="AK25:AK26" si="64">E25*47.867/(47.867+32)*10000</f>
        <v>6712.5395970801474</v>
      </c>
      <c r="AL25" s="11">
        <f t="shared" ref="AL25:AL26" si="65">M25*2*30.97/(2*30.97+16*5)*10000</f>
        <v>567.29604058052689</v>
      </c>
      <c r="AM25" s="2">
        <v>143</v>
      </c>
      <c r="AN25" s="2">
        <v>20</v>
      </c>
      <c r="AO25" s="2">
        <v>32</v>
      </c>
      <c r="AP25" s="2">
        <v>206</v>
      </c>
      <c r="AQ25" s="2">
        <v>390</v>
      </c>
      <c r="AR25" s="2">
        <v>25</v>
      </c>
      <c r="AS25" s="2">
        <v>66</v>
      </c>
      <c r="AT25" s="2">
        <v>15</v>
      </c>
      <c r="AU25" s="2">
        <v>67</v>
      </c>
      <c r="AV25" s="2">
        <v>17.7</v>
      </c>
      <c r="AW25" s="2">
        <v>44</v>
      </c>
      <c r="AX25" s="2">
        <v>316</v>
      </c>
      <c r="AY25" s="2">
        <v>29.7</v>
      </c>
      <c r="AZ25" s="2">
        <v>1.77</v>
      </c>
      <c r="BA25" s="2">
        <v>14.4</v>
      </c>
      <c r="BB25" s="2">
        <v>42.1</v>
      </c>
      <c r="BC25" s="2">
        <v>6.25</v>
      </c>
      <c r="BD25" s="2">
        <v>28.5</v>
      </c>
      <c r="BE25" s="2">
        <v>6.86</v>
      </c>
      <c r="BF25" s="2">
        <v>1.1599999999999999</v>
      </c>
      <c r="BG25" s="2">
        <v>6.12</v>
      </c>
      <c r="BH25" s="2">
        <v>0.94</v>
      </c>
      <c r="BI25" s="2">
        <v>5.33</v>
      </c>
      <c r="BJ25" s="2">
        <v>1.1200000000000001</v>
      </c>
      <c r="BK25" s="2">
        <v>3.21</v>
      </c>
      <c r="BL25" s="2">
        <v>0.47</v>
      </c>
      <c r="BM25" s="2">
        <v>2.99</v>
      </c>
      <c r="BN25" s="2">
        <v>0.47</v>
      </c>
      <c r="BO25" s="2" t="s">
        <v>84</v>
      </c>
      <c r="BP25" s="2">
        <v>0.68</v>
      </c>
      <c r="BQ25" s="2">
        <v>0.27</v>
      </c>
      <c r="BR25" s="2">
        <v>6</v>
      </c>
      <c r="BS25" s="2">
        <v>0.3</v>
      </c>
      <c r="BT25" s="2">
        <v>78</v>
      </c>
      <c r="BU25" s="2">
        <v>2</v>
      </c>
      <c r="BV25" s="2" t="s">
        <v>58</v>
      </c>
      <c r="BW25" s="2">
        <v>6</v>
      </c>
      <c r="BX25" s="2">
        <v>1</v>
      </c>
      <c r="BY25" s="2" t="s">
        <v>59</v>
      </c>
      <c r="BZ25" s="2">
        <v>1.6</v>
      </c>
      <c r="CA25" s="2">
        <v>0.02</v>
      </c>
      <c r="CB25" s="2" t="s">
        <v>60</v>
      </c>
      <c r="CC25" s="2">
        <v>0.04</v>
      </c>
      <c r="CD25" s="2" t="s">
        <v>61</v>
      </c>
      <c r="CE25" s="2">
        <v>7.0000000000000007E-2</v>
      </c>
      <c r="CF25" s="2" t="s">
        <v>62</v>
      </c>
      <c r="CG25" s="2" t="s">
        <v>63</v>
      </c>
      <c r="CH25" s="2">
        <v>0.18</v>
      </c>
      <c r="CI25" s="11">
        <f t="shared" ref="CI25:CI26" si="66">100*(I25/40.31)/(G25/0.89981/71.85+I25/40.31)</f>
        <v>49.688985235791932</v>
      </c>
      <c r="CJ25" s="10">
        <f t="shared" ref="CJ25:CJ26" si="67">(F25/133.96)/(J25/56.08+K25/61.98+L25/94.2)</f>
        <v>0.48675634623742714</v>
      </c>
      <c r="CK25" s="10">
        <f t="shared" ref="CK25:CK26" si="68">L25/K25</f>
        <v>0.44489795918367347</v>
      </c>
      <c r="CL25" s="4">
        <f t="shared" ref="CL25:CL26" si="69">K25+L25</f>
        <v>3.54</v>
      </c>
      <c r="CM25" s="4">
        <f t="shared" ref="CM25:CM26" si="70">AX25/AY25</f>
        <v>10.63973063973064</v>
      </c>
      <c r="CN25" s="4">
        <f t="shared" ref="CN25:CN26" si="71">BT25/AY25</f>
        <v>2.6262626262626263</v>
      </c>
      <c r="CO25" s="4">
        <f t="shared" ref="CO25:CO26" si="72">BR25/BS25</f>
        <v>20</v>
      </c>
      <c r="CP25" s="4">
        <f t="shared" ref="CP25:CP26" si="73">(BA25/0.237)/(BM25/0.161)</f>
        <v>3.2716650438169426</v>
      </c>
      <c r="CQ25" s="4">
        <f t="shared" ref="CQ25:CQ26" si="74">BA25/BM25</f>
        <v>4.8160535117056851</v>
      </c>
      <c r="CR25" s="4">
        <f t="shared" ref="CR25:CR26" si="75">BI25/BM25</f>
        <v>1.7826086956521738</v>
      </c>
      <c r="CS25" s="10">
        <f t="shared" ref="CS25:CS26" si="76">(BF25/0.0563)/(((BE25/0.148)*(BG25/0.199))^(1/2))</f>
        <v>0.54571918435297129</v>
      </c>
      <c r="CT25" s="4">
        <f t="shared" ref="CT25:CT26" si="77">AP25/AO25</f>
        <v>6.4375</v>
      </c>
      <c r="CU25" s="38">
        <f t="shared" ref="CU25:CU26" si="78">(26400*D25/100-4800)/(12.4*D25/100-LN(M25/100)-3.97)-273.15</f>
        <v>671.63263447258544</v>
      </c>
      <c r="CV25" s="40">
        <f t="shared" ref="CV25:CV26" si="79">(26400*R25/100-4800)/(12.4*R25/100-LN(AA25/100)-3.97)-273.15</f>
        <v>682.31652271894552</v>
      </c>
      <c r="CW25" s="4">
        <f t="shared" ref="CW25:CW26" si="80">D25*28.086/(28.086+15.999*2)+F25*26.982*2/(26.982*2+15.999*3)+G25*55.845*2/(55.845*2+15.999*3)+J25*40.078/(40.078+15.999)+I25*32.99*2/(22.99*2+15.999)+L25*39.098*2/(39.098*2+15.999)+O25*51.996*2/(51.996*2+15.999*3)+E25*47.867/(47.867+15.999*2)+H25*54.938/(54.938+15.999)+M25*30.974*2/(30.974*2+15.999*5)+P25*87.62/(87.62+15.999)+N25*137.328/(137.328+15.999)</f>
        <v>55.998375500839849</v>
      </c>
      <c r="CX25" s="4">
        <f t="shared" ref="CX25:CX26" si="81">(K25*22.99*2/(22.99*2+15.999)+L25*39.098*2/(39.098*2+15.999)+2*J25*40.078/(40.078+15.999))/((F25*2*26.982/(26.982*2+15.999*3))*(D25*28.086/(28.086+15.999*2)))*CW25</f>
        <v>5.1676865208913476</v>
      </c>
      <c r="CY25" s="11">
        <f t="shared" ref="CY25:CY26" si="82">12900/(3.8+0.85*(CX25-1)+LN(496000/BT25))-273.15</f>
        <v>528.08447640361192</v>
      </c>
      <c r="CZ25" s="11">
        <f t="shared" ref="CZ25:CZ26" si="83">10108/(1.48+1.16*(CX25-1)+LN(496000/BT25))-273.15</f>
        <v>397.49138488811786</v>
      </c>
    </row>
    <row r="26" spans="1:105" s="2" customFormat="1" ht="14" customHeight="1">
      <c r="A26" s="3" t="s">
        <v>101</v>
      </c>
      <c r="B26" s="3"/>
      <c r="C26" s="3"/>
      <c r="D26" s="2">
        <v>68.2</v>
      </c>
      <c r="E26" s="2">
        <v>0.68</v>
      </c>
      <c r="F26" s="2">
        <v>14.2</v>
      </c>
      <c r="G26" s="2">
        <v>7.13</v>
      </c>
      <c r="H26" s="2">
        <v>0.06</v>
      </c>
      <c r="I26" s="2">
        <v>0.99</v>
      </c>
      <c r="J26" s="2">
        <v>3.12</v>
      </c>
      <c r="K26" s="2">
        <v>5.7</v>
      </c>
      <c r="L26" s="2">
        <v>0.59</v>
      </c>
      <c r="M26" s="2">
        <v>0.22</v>
      </c>
      <c r="N26" s="2">
        <v>0.02</v>
      </c>
      <c r="O26" s="2">
        <v>4.0000000000000001E-3</v>
      </c>
      <c r="P26" s="2">
        <v>0.01</v>
      </c>
      <c r="R26" s="4"/>
      <c r="S26" s="10"/>
      <c r="T26" s="4"/>
      <c r="U26" s="4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9"/>
      <c r="AH26" s="10"/>
      <c r="AI26" s="4"/>
      <c r="AJ26" s="11">
        <f t="shared" si="63"/>
        <v>4897.8768577494693</v>
      </c>
      <c r="AK26" s="11">
        <f t="shared" si="64"/>
        <v>4075.4704696558028</v>
      </c>
      <c r="AL26" s="11">
        <f t="shared" si="65"/>
        <v>960.03945329012254</v>
      </c>
      <c r="AM26" s="2">
        <v>203</v>
      </c>
      <c r="AN26" s="9"/>
      <c r="AO26" s="9"/>
      <c r="AP26" s="2">
        <v>7</v>
      </c>
      <c r="AQ26" s="2">
        <v>30</v>
      </c>
      <c r="AR26" s="9"/>
      <c r="AS26" s="11"/>
      <c r="AT26" s="9"/>
      <c r="AU26" s="9"/>
      <c r="AV26" s="2">
        <v>21.5</v>
      </c>
      <c r="AW26" s="2">
        <v>11.7</v>
      </c>
      <c r="AX26" s="2">
        <v>139</v>
      </c>
      <c r="AY26" s="2">
        <v>48</v>
      </c>
      <c r="AZ26" s="2">
        <v>0.09</v>
      </c>
      <c r="BA26" s="2">
        <v>17.8</v>
      </c>
      <c r="BB26" s="2">
        <v>47.5</v>
      </c>
      <c r="BC26" s="2">
        <v>6.89</v>
      </c>
      <c r="BD26" s="2">
        <v>30.7</v>
      </c>
      <c r="BE26" s="2">
        <v>8.1199999999999992</v>
      </c>
      <c r="BF26" s="2">
        <v>1.68</v>
      </c>
      <c r="BG26" s="2">
        <v>8.34</v>
      </c>
      <c r="BH26" s="2">
        <v>1.33</v>
      </c>
      <c r="BI26" s="2">
        <v>7.77</v>
      </c>
      <c r="BJ26" s="2">
        <v>1.8</v>
      </c>
      <c r="BK26" s="2">
        <v>5.24</v>
      </c>
      <c r="BL26" s="2">
        <v>0.8</v>
      </c>
      <c r="BM26" s="2">
        <v>4.91</v>
      </c>
      <c r="BN26" s="2">
        <v>0.72</v>
      </c>
      <c r="BO26" s="9"/>
      <c r="BP26" s="2">
        <v>2.31</v>
      </c>
      <c r="BQ26" s="2">
        <v>0.59</v>
      </c>
      <c r="BR26" s="2">
        <v>9.5</v>
      </c>
      <c r="BS26" s="2">
        <v>0.8</v>
      </c>
      <c r="BT26" s="2">
        <v>237</v>
      </c>
      <c r="BU26" s="2">
        <v>6.5</v>
      </c>
      <c r="BV26" s="2" t="s">
        <v>58</v>
      </c>
      <c r="BW26" s="2">
        <v>1</v>
      </c>
      <c r="BX26" s="2" t="s">
        <v>65</v>
      </c>
      <c r="BY26" s="9"/>
      <c r="BZ26" s="9"/>
      <c r="CA26" s="9"/>
      <c r="CB26" s="9"/>
      <c r="CC26" s="12"/>
      <c r="CD26" s="9"/>
      <c r="CE26" s="9"/>
      <c r="CF26" s="9"/>
      <c r="CG26" s="9"/>
      <c r="CH26" s="9"/>
      <c r="CI26" s="11">
        <f t="shared" si="66"/>
        <v>18.213454298793359</v>
      </c>
      <c r="CJ26" s="10">
        <f t="shared" si="67"/>
        <v>0.68893518986789926</v>
      </c>
      <c r="CK26" s="10">
        <f t="shared" si="68"/>
        <v>0.10350877192982455</v>
      </c>
      <c r="CL26" s="4">
        <f t="shared" si="69"/>
        <v>6.29</v>
      </c>
      <c r="CM26" s="4">
        <f t="shared" si="70"/>
        <v>2.8958333333333335</v>
      </c>
      <c r="CN26" s="4">
        <f t="shared" si="71"/>
        <v>4.9375</v>
      </c>
      <c r="CO26" s="4">
        <f t="shared" si="72"/>
        <v>11.875</v>
      </c>
      <c r="CP26" s="4">
        <f t="shared" si="73"/>
        <v>2.4627256868356153</v>
      </c>
      <c r="CQ26" s="4">
        <f t="shared" si="74"/>
        <v>3.6252545824847249</v>
      </c>
      <c r="CR26" s="4">
        <f t="shared" si="75"/>
        <v>1.5824847250509164</v>
      </c>
      <c r="CS26" s="10">
        <f t="shared" si="76"/>
        <v>0.6222963344451633</v>
      </c>
      <c r="CT26" s="4" t="e">
        <f t="shared" si="77"/>
        <v>#DIV/0!</v>
      </c>
      <c r="CU26" s="38">
        <f t="shared" si="78"/>
        <v>971.86961996979005</v>
      </c>
      <c r="CV26" s="40" t="e">
        <f t="shared" si="79"/>
        <v>#NUM!</v>
      </c>
      <c r="CW26" s="4">
        <f t="shared" si="80"/>
        <v>48.734931980665117</v>
      </c>
      <c r="CX26" s="4">
        <f t="shared" si="81"/>
        <v>1.8668959642342251</v>
      </c>
      <c r="CY26" s="11">
        <f t="shared" si="82"/>
        <v>785.69097196958353</v>
      </c>
      <c r="CZ26" s="11">
        <f t="shared" si="83"/>
        <v>724.49402995882303</v>
      </c>
    </row>
    <row r="27" spans="1:105" ht="14" customHeight="1">
      <c r="A27" s="3"/>
      <c r="B27" s="3"/>
      <c r="C27" s="3"/>
      <c r="D27" s="4"/>
      <c r="E27" s="9"/>
      <c r="F27" s="4"/>
      <c r="G27" s="4"/>
      <c r="H27" s="9"/>
      <c r="I27" s="9"/>
      <c r="J27" s="4"/>
      <c r="K27" s="10"/>
      <c r="L27" s="10"/>
      <c r="M27" s="9"/>
      <c r="N27" s="35"/>
      <c r="O27" s="35"/>
      <c r="P27" s="10"/>
      <c r="Q27" s="10"/>
      <c r="R27" s="4"/>
      <c r="S27" s="10"/>
      <c r="T27" s="4"/>
      <c r="U27" s="4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9"/>
      <c r="AH27" s="10"/>
      <c r="AI27" s="4"/>
      <c r="AJ27" s="11"/>
      <c r="AK27" s="11"/>
      <c r="AL27" s="11"/>
      <c r="AM27" s="11"/>
      <c r="AN27" s="9"/>
      <c r="AO27" s="9"/>
      <c r="AP27" s="9"/>
      <c r="AQ27" s="9"/>
      <c r="AR27" s="9"/>
      <c r="AS27" s="11"/>
      <c r="AT27" s="9"/>
      <c r="AU27" s="9"/>
      <c r="AV27" s="4"/>
      <c r="AW27" s="4"/>
      <c r="AX27" s="11"/>
      <c r="AY27" s="9"/>
      <c r="AZ27" s="17"/>
      <c r="BA27" s="4"/>
      <c r="BB27" s="4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9"/>
      <c r="BP27" s="10"/>
      <c r="BQ27" s="10"/>
      <c r="BR27" s="4"/>
      <c r="BS27" s="10"/>
      <c r="BT27" s="11"/>
      <c r="BU27" s="4"/>
      <c r="BV27" s="9"/>
      <c r="BW27" s="9"/>
      <c r="BX27" s="9"/>
      <c r="BY27" s="9"/>
      <c r="BZ27" s="9"/>
      <c r="CA27" s="9"/>
      <c r="CB27" s="9"/>
      <c r="CC27" s="12"/>
      <c r="CD27" s="9"/>
      <c r="CE27" s="9"/>
      <c r="CF27" s="9"/>
      <c r="CG27" s="9"/>
      <c r="CH27" s="9"/>
      <c r="CI27" s="11"/>
      <c r="CJ27" s="10"/>
      <c r="CK27" s="10"/>
      <c r="CL27" s="4"/>
      <c r="CM27" s="4"/>
      <c r="CN27" s="4"/>
      <c r="CO27" s="4"/>
      <c r="CP27" s="4"/>
      <c r="CQ27" s="4"/>
      <c r="CR27" s="4"/>
      <c r="CS27" s="10"/>
      <c r="CT27" s="4"/>
      <c r="CU27" s="38"/>
      <c r="CV27" s="38"/>
      <c r="CW27" s="4"/>
      <c r="CX27" s="4"/>
      <c r="CY27" s="11"/>
      <c r="CZ27" s="11"/>
    </row>
    <row r="28" spans="1:105" s="60" customFormat="1" ht="14" customHeight="1">
      <c r="A28" s="34" t="s">
        <v>200</v>
      </c>
      <c r="B28" s="34"/>
      <c r="C28" s="34"/>
      <c r="D28" s="48">
        <f t="shared" ref="D28:AH28" si="84">AVERAGE(D3,D46:D76)</f>
        <v>55.5934375</v>
      </c>
      <c r="E28" s="47">
        <f t="shared" si="84"/>
        <v>1.4024687500000002</v>
      </c>
      <c r="F28" s="48">
        <f t="shared" si="84"/>
        <v>15.1525</v>
      </c>
      <c r="G28" s="48">
        <f t="shared" si="84"/>
        <v>9.2648124999999997</v>
      </c>
      <c r="H28" s="47">
        <f t="shared" si="84"/>
        <v>0.13406249999999997</v>
      </c>
      <c r="I28" s="48">
        <f t="shared" si="84"/>
        <v>4.2365624999999998</v>
      </c>
      <c r="J28" s="48">
        <f t="shared" si="84"/>
        <v>7.8903125000000003</v>
      </c>
      <c r="K28" s="47">
        <f t="shared" si="84"/>
        <v>3.7815625000000002</v>
      </c>
      <c r="L28" s="47">
        <f t="shared" si="84"/>
        <v>0.78218749999999992</v>
      </c>
      <c r="M28" s="47">
        <f t="shared" si="84"/>
        <v>0.2180645161290323</v>
      </c>
      <c r="N28" s="62">
        <f t="shared" si="84"/>
        <v>0.02</v>
      </c>
      <c r="O28" s="59">
        <f t="shared" si="84"/>
        <v>5.2999999999999999E-2</v>
      </c>
      <c r="P28" s="59">
        <f t="shared" si="84"/>
        <v>0.04</v>
      </c>
      <c r="Q28" s="59"/>
      <c r="R28" s="48">
        <f t="shared" si="84"/>
        <v>56.460176927074926</v>
      </c>
      <c r="S28" s="59">
        <f t="shared" si="84"/>
        <v>1.4238261421319796</v>
      </c>
      <c r="T28" s="47">
        <f t="shared" si="84"/>
        <v>15.390046698047328</v>
      </c>
      <c r="U28" s="47">
        <f t="shared" si="84"/>
        <v>9.4103053043820495</v>
      </c>
      <c r="V28" s="47">
        <f t="shared" si="84"/>
        <v>0.13614143174352664</v>
      </c>
      <c r="W28" s="47">
        <f t="shared" si="84"/>
        <v>4.3043296945042373</v>
      </c>
      <c r="X28" s="47">
        <f t="shared" si="84"/>
        <v>8.0147408570613639</v>
      </c>
      <c r="Y28" s="47">
        <f t="shared" si="84"/>
        <v>3.840490697316485</v>
      </c>
      <c r="Z28" s="47">
        <f t="shared" si="84"/>
        <v>0.79441754194907699</v>
      </c>
      <c r="AA28" s="47">
        <f t="shared" si="84"/>
        <v>0.22144408410582958</v>
      </c>
      <c r="AB28" s="47">
        <f t="shared" si="84"/>
        <v>6.3451776649746188E-4</v>
      </c>
      <c r="AC28" s="47">
        <f t="shared" si="84"/>
        <v>1.6814720812182741E-3</v>
      </c>
      <c r="AD28" s="47">
        <f t="shared" si="84"/>
        <v>1.2690355329949238E-3</v>
      </c>
      <c r="AE28" s="47"/>
      <c r="AF28" s="59">
        <f t="shared" si="84"/>
        <v>0.06</v>
      </c>
      <c r="AG28" s="59" t="e">
        <f t="shared" si="84"/>
        <v>#DIV/0!</v>
      </c>
      <c r="AH28" s="59">
        <f t="shared" si="84"/>
        <v>1.7384374999999999</v>
      </c>
      <c r="AI28" s="48"/>
      <c r="AJ28" s="46"/>
      <c r="AK28" s="46"/>
      <c r="AL28" s="46"/>
      <c r="AM28" s="46"/>
      <c r="AN28" s="28"/>
      <c r="AO28" s="28"/>
      <c r="AP28" s="28"/>
      <c r="AQ28" s="28"/>
      <c r="AR28" s="28"/>
      <c r="AS28" s="46"/>
      <c r="AT28" s="46">
        <f>AVERAGE(AT3,AT46:AT50,AT66:AT73,AT52:AT59,AT61,AT75:AT76,AT64)</f>
        <v>38.780769230769231</v>
      </c>
      <c r="AU28" s="28"/>
      <c r="AV28" s="48"/>
      <c r="AW28" s="48"/>
      <c r="AX28" s="46"/>
      <c r="AY28" s="28"/>
      <c r="AZ28" s="58"/>
      <c r="BA28" s="48"/>
      <c r="BB28" s="48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28"/>
      <c r="BP28" s="47"/>
      <c r="BQ28" s="47"/>
      <c r="BR28" s="48"/>
      <c r="BS28" s="47"/>
      <c r="BT28" s="46"/>
      <c r="BU28" s="48"/>
      <c r="BV28" s="28"/>
      <c r="BW28" s="28"/>
      <c r="BX28" s="28"/>
      <c r="BY28" s="28"/>
      <c r="BZ28" s="28"/>
      <c r="CA28" s="28"/>
      <c r="CB28" s="28"/>
      <c r="CC28" s="59"/>
      <c r="CD28" s="28"/>
      <c r="CE28" s="28"/>
      <c r="CF28" s="28"/>
      <c r="CG28" s="28"/>
      <c r="CH28" s="28"/>
      <c r="CI28" s="46">
        <f t="shared" ref="CI28:CU28" si="85">AVERAGE(CI3,CI46:CI76)</f>
        <v>41.473677087973506</v>
      </c>
      <c r="CJ28" s="47">
        <f t="shared" si="85"/>
        <v>0.54358765673122655</v>
      </c>
      <c r="CK28" s="47">
        <f t="shared" si="85"/>
        <v>0.21831599183112727</v>
      </c>
      <c r="CL28" s="48">
        <f t="shared" si="85"/>
        <v>4.5637500000000006</v>
      </c>
      <c r="CM28" s="46">
        <f t="shared" si="85"/>
        <v>7.7848034566639823</v>
      </c>
      <c r="CN28" s="48">
        <f t="shared" si="85"/>
        <v>4.8908602042362963</v>
      </c>
      <c r="CO28" s="48">
        <f t="shared" si="85"/>
        <v>16.867531458662281</v>
      </c>
      <c r="CP28" s="48">
        <f t="shared" si="85"/>
        <v>3.3529222541870904</v>
      </c>
      <c r="CQ28" s="48">
        <f t="shared" si="85"/>
        <v>4.9356681629959036</v>
      </c>
      <c r="CR28" s="48">
        <f t="shared" si="85"/>
        <v>1.7769708767812897</v>
      </c>
      <c r="CS28" s="47">
        <f t="shared" si="85"/>
        <v>0.69833223940199574</v>
      </c>
      <c r="CT28" s="48">
        <f t="shared" si="85"/>
        <v>7.1296898218339244</v>
      </c>
      <c r="CU28" s="46">
        <f t="shared" si="85"/>
        <v>793.64179631423451</v>
      </c>
      <c r="CV28" s="46"/>
      <c r="CW28" s="46">
        <f>AVERAGE(CW3,CW46:CW76)</f>
        <v>52.324918993791044</v>
      </c>
      <c r="CX28" s="46">
        <f>AVERAGE(CX3,CX46:CX76)</f>
        <v>3.7912712789931295</v>
      </c>
      <c r="CY28" s="46">
        <f>AVERAGE(CY3,CY46:CY76)</f>
        <v>630.86028040453346</v>
      </c>
      <c r="CZ28" s="46">
        <f>AVERAGE(CZ3,CZ46:CZ76)</f>
        <v>520.83398590818319</v>
      </c>
      <c r="DA28" s="46"/>
    </row>
    <row r="29" spans="1:105" ht="14" customHeight="1">
      <c r="A29" s="34" t="s">
        <v>204</v>
      </c>
      <c r="B29" s="3"/>
      <c r="C29" s="3"/>
      <c r="D29" s="4">
        <f t="shared" ref="D29:AH29" si="86">_xlfn.STDEV.S(D3,D46:D76)</f>
        <v>4.4104894098815626</v>
      </c>
      <c r="E29" s="10">
        <f t="shared" si="86"/>
        <v>0.50244287008734834</v>
      </c>
      <c r="F29" s="4">
        <f t="shared" si="86"/>
        <v>1.1392753780788796</v>
      </c>
      <c r="G29" s="4">
        <f t="shared" si="86"/>
        <v>2.8218495357512183</v>
      </c>
      <c r="H29" s="10">
        <f t="shared" si="86"/>
        <v>4.2970310455536273E-2</v>
      </c>
      <c r="I29" s="4">
        <f t="shared" si="86"/>
        <v>1.7308129907274712</v>
      </c>
      <c r="J29" s="4">
        <f t="shared" si="86"/>
        <v>1.4437350404196316</v>
      </c>
      <c r="K29" s="10">
        <f t="shared" si="86"/>
        <v>0.90395942449262379</v>
      </c>
      <c r="L29" s="10">
        <f t="shared" si="86"/>
        <v>0.47137228883062227</v>
      </c>
      <c r="M29" s="10">
        <f t="shared" si="86"/>
        <v>0.14597760912410981</v>
      </c>
      <c r="N29" s="36" t="e">
        <f t="shared" si="86"/>
        <v>#DIV/0!</v>
      </c>
      <c r="O29" s="12" t="e">
        <f t="shared" si="86"/>
        <v>#DIV/0!</v>
      </c>
      <c r="P29" s="12" t="e">
        <f t="shared" si="86"/>
        <v>#DIV/0!</v>
      </c>
      <c r="Q29" s="12"/>
      <c r="R29" s="4">
        <f t="shared" si="86"/>
        <v>4.4273225772227063</v>
      </c>
      <c r="S29" s="12">
        <f t="shared" si="86"/>
        <v>0.51009428435263993</v>
      </c>
      <c r="T29" s="10">
        <f t="shared" si="86"/>
        <v>1.1592746903066147</v>
      </c>
      <c r="U29" s="10">
        <f t="shared" si="86"/>
        <v>2.8657748305028625</v>
      </c>
      <c r="V29" s="10">
        <f t="shared" si="86"/>
        <v>4.3484467647844256E-2</v>
      </c>
      <c r="W29" s="10">
        <f t="shared" si="86"/>
        <v>1.7663542590084975</v>
      </c>
      <c r="X29" s="10">
        <f t="shared" si="86"/>
        <v>1.470445901585008</v>
      </c>
      <c r="Y29" s="10">
        <f t="shared" si="86"/>
        <v>0.91790410319786486</v>
      </c>
      <c r="Z29" s="10">
        <f t="shared" si="86"/>
        <v>0.47784487106891993</v>
      </c>
      <c r="AA29" s="10">
        <f t="shared" si="86"/>
        <v>0.14815398619280093</v>
      </c>
      <c r="AB29" s="10">
        <f t="shared" si="86"/>
        <v>3.5893745237895809E-3</v>
      </c>
      <c r="AC29" s="10">
        <f t="shared" si="86"/>
        <v>9.5118424880423907E-3</v>
      </c>
      <c r="AD29" s="10">
        <f t="shared" si="86"/>
        <v>7.1787490475791619E-3</v>
      </c>
      <c r="AE29" s="10"/>
      <c r="AF29" s="12" t="e">
        <f t="shared" si="86"/>
        <v>#DIV/0!</v>
      </c>
      <c r="AG29" s="12" t="e">
        <f t="shared" si="86"/>
        <v>#DIV/0!</v>
      </c>
      <c r="AH29" s="12">
        <f t="shared" si="86"/>
        <v>0.41967813607957427</v>
      </c>
      <c r="AI29" s="4"/>
      <c r="AJ29" s="11"/>
      <c r="AK29" s="11"/>
      <c r="AL29" s="11"/>
      <c r="AM29" s="11"/>
      <c r="AN29" s="9"/>
      <c r="AO29" s="9"/>
      <c r="AP29" s="9"/>
      <c r="AQ29" s="9"/>
      <c r="AR29" s="9"/>
      <c r="AS29" s="11"/>
      <c r="AT29" s="46">
        <f>_xlfn.STDEV.S(AT3,AT46:AT50,AT66:AT73,AT52:AT59,AT61,AT75:AT76,AT64)</f>
        <v>21.452571300070648</v>
      </c>
      <c r="AU29" s="9"/>
      <c r="AV29" s="4"/>
      <c r="AW29" s="4"/>
      <c r="AX29" s="11"/>
      <c r="AY29" s="9"/>
      <c r="AZ29" s="17"/>
      <c r="BA29" s="4"/>
      <c r="BB29" s="4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9"/>
      <c r="BP29" s="10"/>
      <c r="BQ29" s="10"/>
      <c r="BR29" s="4"/>
      <c r="BS29" s="10"/>
      <c r="BT29" s="11"/>
      <c r="BU29" s="4"/>
      <c r="BV29" s="9"/>
      <c r="BW29" s="9"/>
      <c r="BX29" s="9"/>
      <c r="BY29" s="9"/>
      <c r="BZ29" s="9"/>
      <c r="CA29" s="9"/>
      <c r="CB29" s="9"/>
      <c r="CC29" s="12"/>
      <c r="CD29" s="9"/>
      <c r="CE29" s="9"/>
      <c r="CF29" s="9"/>
      <c r="CG29" s="9"/>
      <c r="CH29" s="9"/>
      <c r="CI29" s="11">
        <f t="shared" ref="CI29:CU29" si="87">_xlfn.STDEV.S(CI3,CI46:CI76)</f>
        <v>6.6601507924312662</v>
      </c>
      <c r="CJ29" s="10">
        <f t="shared" si="87"/>
        <v>6.8302123329285425E-2</v>
      </c>
      <c r="CK29" s="10">
        <f t="shared" si="87"/>
        <v>0.14033471619887136</v>
      </c>
      <c r="CL29" s="4">
        <f t="shared" si="87"/>
        <v>1.046843951152467</v>
      </c>
      <c r="CM29" s="11">
        <f t="shared" si="87"/>
        <v>4.0303359927331819</v>
      </c>
      <c r="CN29" s="4">
        <f t="shared" si="87"/>
        <v>3.1750842290813841</v>
      </c>
      <c r="CO29" s="4">
        <f t="shared" si="87"/>
        <v>8.2064978961340866</v>
      </c>
      <c r="CP29" s="4">
        <f t="shared" si="87"/>
        <v>1.2108088482814807</v>
      </c>
      <c r="CQ29" s="4">
        <f t="shared" si="87"/>
        <v>1.7823707890851601</v>
      </c>
      <c r="CR29" s="4">
        <f t="shared" si="87"/>
        <v>0.13258510663723197</v>
      </c>
      <c r="CS29" s="10">
        <f t="shared" si="87"/>
        <v>0.18761107387796025</v>
      </c>
      <c r="CT29" s="4">
        <f t="shared" si="87"/>
        <v>2.2670806523373952</v>
      </c>
      <c r="CU29" s="11">
        <f t="shared" si="87"/>
        <v>93.433658369805428</v>
      </c>
      <c r="CV29" s="11"/>
      <c r="CW29" s="11">
        <f>_xlfn.STDEV.S(CW3,CW46:CW76)</f>
        <v>2.1288699939201763</v>
      </c>
      <c r="CX29" s="11">
        <f>_xlfn.STDEV.S(CX3,CX46:CX76)</f>
        <v>0.87623649755452493</v>
      </c>
      <c r="CY29" s="11">
        <f>_xlfn.STDEV.S(CY3,CY46:CY76)</f>
        <v>70.561417512107383</v>
      </c>
      <c r="CZ29" s="11">
        <f>_xlfn.STDEV.S(CZ3,CZ46:CZ76)</f>
        <v>83.700247959372589</v>
      </c>
      <c r="DA29" s="11"/>
    </row>
    <row r="30" spans="1:105" s="60" customFormat="1" ht="14" customHeight="1">
      <c r="A30" s="34" t="s">
        <v>205</v>
      </c>
      <c r="B30" s="34"/>
      <c r="C30" s="34"/>
      <c r="D30" s="4">
        <f t="shared" ref="D30:AH30" si="88">MIN(D3,D46:D76)</f>
        <v>49.17</v>
      </c>
      <c r="E30" s="10">
        <f t="shared" si="88"/>
        <v>0.441</v>
      </c>
      <c r="F30" s="4">
        <f t="shared" si="88"/>
        <v>13.85</v>
      </c>
      <c r="G30" s="4">
        <f t="shared" si="88"/>
        <v>1.522</v>
      </c>
      <c r="H30" s="10">
        <f t="shared" si="88"/>
        <v>0.03</v>
      </c>
      <c r="I30" s="4">
        <f t="shared" si="88"/>
        <v>0.51</v>
      </c>
      <c r="J30" s="4">
        <f t="shared" si="88"/>
        <v>3.91</v>
      </c>
      <c r="K30" s="10">
        <f t="shared" si="88"/>
        <v>1.79</v>
      </c>
      <c r="L30" s="10">
        <f t="shared" si="88"/>
        <v>0.18</v>
      </c>
      <c r="M30" s="10">
        <f t="shared" si="88"/>
        <v>0.03</v>
      </c>
      <c r="N30" s="36">
        <f t="shared" si="88"/>
        <v>0.02</v>
      </c>
      <c r="O30" s="12">
        <f t="shared" si="88"/>
        <v>5.2999999999999999E-2</v>
      </c>
      <c r="P30" s="12">
        <f t="shared" si="88"/>
        <v>0.04</v>
      </c>
      <c r="Q30" s="12"/>
      <c r="R30" s="4">
        <f t="shared" si="88"/>
        <v>49.903582665178121</v>
      </c>
      <c r="S30" s="12">
        <f t="shared" si="88"/>
        <v>0.44771573604060916</v>
      </c>
      <c r="T30" s="10">
        <f t="shared" si="88"/>
        <v>13.982836951034828</v>
      </c>
      <c r="U30" s="10">
        <f t="shared" si="88"/>
        <v>1.5417341977309562</v>
      </c>
      <c r="V30" s="10">
        <f t="shared" si="88"/>
        <v>3.0388978930307942E-2</v>
      </c>
      <c r="W30" s="10">
        <f t="shared" si="88"/>
        <v>0.51661264181523503</v>
      </c>
      <c r="X30" s="10">
        <f t="shared" si="88"/>
        <v>3.9606969205834686</v>
      </c>
      <c r="Y30" s="10">
        <f t="shared" si="88"/>
        <v>1.8345803013221276</v>
      </c>
      <c r="Z30" s="10">
        <f t="shared" si="88"/>
        <v>0.18179981820018179</v>
      </c>
      <c r="AA30" s="10">
        <f t="shared" si="88"/>
        <v>3.0388978930307942E-2</v>
      </c>
      <c r="AB30" s="10">
        <f t="shared" si="88"/>
        <v>0</v>
      </c>
      <c r="AC30" s="10">
        <f t="shared" si="88"/>
        <v>0</v>
      </c>
      <c r="AD30" s="10">
        <f t="shared" si="88"/>
        <v>0</v>
      </c>
      <c r="AE30" s="10"/>
      <c r="AF30" s="12">
        <f t="shared" si="88"/>
        <v>0.06</v>
      </c>
      <c r="AG30" s="12">
        <f t="shared" si="88"/>
        <v>0</v>
      </c>
      <c r="AH30" s="12">
        <f t="shared" si="88"/>
        <v>0.76</v>
      </c>
      <c r="AI30" s="48"/>
      <c r="AJ30" s="46"/>
      <c r="AK30" s="46"/>
      <c r="AL30" s="46"/>
      <c r="AM30" s="46"/>
      <c r="AN30" s="28"/>
      <c r="AO30" s="28"/>
      <c r="AP30" s="28"/>
      <c r="AQ30" s="28"/>
      <c r="AR30" s="28"/>
      <c r="AS30" s="46"/>
      <c r="AT30" s="11">
        <f>MIN(AT3,AT46:AT76)</f>
        <v>6.1</v>
      </c>
      <c r="AU30" s="28"/>
      <c r="AV30" s="48"/>
      <c r="AW30" s="48"/>
      <c r="AX30" s="46"/>
      <c r="AY30" s="28"/>
      <c r="AZ30" s="58"/>
      <c r="BA30" s="48"/>
      <c r="BB30" s="48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28"/>
      <c r="BP30" s="47"/>
      <c r="BQ30" s="47"/>
      <c r="BR30" s="48"/>
      <c r="BS30" s="47"/>
      <c r="BT30" s="46"/>
      <c r="BU30" s="48"/>
      <c r="BV30" s="28"/>
      <c r="BW30" s="28"/>
      <c r="BX30" s="28"/>
      <c r="BY30" s="28"/>
      <c r="BZ30" s="28"/>
      <c r="CA30" s="28"/>
      <c r="CB30" s="28"/>
      <c r="CC30" s="59"/>
      <c r="CD30" s="28"/>
      <c r="CE30" s="28"/>
      <c r="CF30" s="28"/>
      <c r="CG30" s="28"/>
      <c r="CH30" s="28"/>
      <c r="CI30" s="11">
        <f t="shared" ref="CI30:CU30" si="89">MIN(CI3,CI46:CI76)</f>
        <v>27.571862805646543</v>
      </c>
      <c r="CJ30" s="10">
        <f t="shared" si="89"/>
        <v>0.43181593853513933</v>
      </c>
      <c r="CK30" s="10">
        <f t="shared" si="89"/>
        <v>4.1474654377880185E-2</v>
      </c>
      <c r="CL30" s="4">
        <f t="shared" si="89"/>
        <v>2.23</v>
      </c>
      <c r="CM30" s="11">
        <f t="shared" si="89"/>
        <v>1.4497041420118344</v>
      </c>
      <c r="CN30" s="4">
        <f t="shared" si="89"/>
        <v>1.5610859728506787</v>
      </c>
      <c r="CO30" s="11">
        <f t="shared" si="89"/>
        <v>4.4904458598726116</v>
      </c>
      <c r="CP30" s="4">
        <f t="shared" si="89"/>
        <v>0.48069188442273059</v>
      </c>
      <c r="CQ30" s="4">
        <f t="shared" si="89"/>
        <v>0.70760233918128645</v>
      </c>
      <c r="CR30" s="4">
        <f t="shared" si="89"/>
        <v>1.5393081761006286</v>
      </c>
      <c r="CS30" s="10">
        <f t="shared" si="89"/>
        <v>0.25419499648703575</v>
      </c>
      <c r="CT30" s="4">
        <f t="shared" si="89"/>
        <v>2.25</v>
      </c>
      <c r="CU30" s="11">
        <f t="shared" si="89"/>
        <v>620.31027363306214</v>
      </c>
      <c r="CV30" s="11"/>
      <c r="CW30" s="11">
        <f>MIN(CW3,CW46:CW76)</f>
        <v>46.528466627135487</v>
      </c>
      <c r="CX30" s="11">
        <f>MIN(CX3,CX46:CX76)</f>
        <v>1.8974091986410277</v>
      </c>
      <c r="CY30" s="11">
        <f>MIN(CY3,CY46:CY76)</f>
        <v>503.85893639245126</v>
      </c>
      <c r="CZ30" s="11">
        <f>MIN(CZ3,CZ46:CZ76)</f>
        <v>383.91605510582463</v>
      </c>
      <c r="DA30" s="11"/>
    </row>
    <row r="31" spans="1:105" s="60" customFormat="1" ht="14" customHeight="1">
      <c r="A31" s="34" t="s">
        <v>206</v>
      </c>
      <c r="B31" s="34"/>
      <c r="C31" s="34"/>
      <c r="D31" s="4">
        <f t="shared" ref="D31:AH31" si="90">MAX(D3,D46:D76)</f>
        <v>63.53</v>
      </c>
      <c r="E31" s="10">
        <f t="shared" si="90"/>
        <v>2.536</v>
      </c>
      <c r="F31" s="4">
        <f t="shared" si="90"/>
        <v>19.16</v>
      </c>
      <c r="G31" s="4">
        <f t="shared" si="90"/>
        <v>13.510000000000002</v>
      </c>
      <c r="H31" s="10">
        <f t="shared" si="90"/>
        <v>0.23400000000000001</v>
      </c>
      <c r="I31" s="4">
        <f t="shared" si="90"/>
        <v>9.27</v>
      </c>
      <c r="J31" s="4">
        <f t="shared" si="90"/>
        <v>10.25</v>
      </c>
      <c r="K31" s="10">
        <f t="shared" si="90"/>
        <v>7.04</v>
      </c>
      <c r="L31" s="10">
        <f t="shared" si="90"/>
        <v>2.06</v>
      </c>
      <c r="M31" s="10">
        <f t="shared" si="90"/>
        <v>0.66</v>
      </c>
      <c r="N31" s="36">
        <f t="shared" si="90"/>
        <v>0.02</v>
      </c>
      <c r="O31" s="12">
        <f t="shared" si="90"/>
        <v>5.2999999999999999E-2</v>
      </c>
      <c r="P31" s="12">
        <f t="shared" si="90"/>
        <v>0.04</v>
      </c>
      <c r="Q31" s="12"/>
      <c r="R31" s="4">
        <f t="shared" si="90"/>
        <v>63.877633711507293</v>
      </c>
      <c r="S31" s="12">
        <f t="shared" si="90"/>
        <v>2.5746192893401014</v>
      </c>
      <c r="T31" s="10">
        <f t="shared" si="90"/>
        <v>19.408427876823339</v>
      </c>
      <c r="U31" s="10">
        <f t="shared" si="90"/>
        <v>13.711559930985489</v>
      </c>
      <c r="V31" s="10">
        <f t="shared" si="90"/>
        <v>0.23624432104997475</v>
      </c>
      <c r="W31" s="10">
        <f t="shared" si="90"/>
        <v>9.5008711694168291</v>
      </c>
      <c r="X31" s="10">
        <f t="shared" si="90"/>
        <v>10.406091370558375</v>
      </c>
      <c r="Y31" s="10">
        <f t="shared" si="90"/>
        <v>7.1312803889789302</v>
      </c>
      <c r="Z31" s="10">
        <f t="shared" si="90"/>
        <v>2.0884022708840226</v>
      </c>
      <c r="AA31" s="10">
        <f t="shared" si="90"/>
        <v>0.6715506715506715</v>
      </c>
      <c r="AB31" s="10">
        <f t="shared" si="90"/>
        <v>2.030456852791878E-2</v>
      </c>
      <c r="AC31" s="10">
        <f t="shared" si="90"/>
        <v>5.3807106598984772E-2</v>
      </c>
      <c r="AD31" s="10">
        <f t="shared" si="90"/>
        <v>4.060913705583756E-2</v>
      </c>
      <c r="AE31" s="10"/>
      <c r="AF31" s="12">
        <f t="shared" si="90"/>
        <v>0.06</v>
      </c>
      <c r="AG31" s="12">
        <f t="shared" si="90"/>
        <v>0</v>
      </c>
      <c r="AH31" s="12">
        <f t="shared" si="90"/>
        <v>2.4700000000000002</v>
      </c>
      <c r="AI31" s="48"/>
      <c r="AJ31" s="46"/>
      <c r="AK31" s="46"/>
      <c r="AL31" s="46"/>
      <c r="AM31" s="46"/>
      <c r="AN31" s="28"/>
      <c r="AO31" s="28"/>
      <c r="AP31" s="28"/>
      <c r="AQ31" s="28"/>
      <c r="AR31" s="28"/>
      <c r="AS31" s="46"/>
      <c r="AT31" s="11">
        <f>MAX(AT3,AT46:AT76)</f>
        <v>1280</v>
      </c>
      <c r="AU31" s="28"/>
      <c r="AV31" s="48"/>
      <c r="AW31" s="48"/>
      <c r="AX31" s="46"/>
      <c r="AY31" s="28"/>
      <c r="AZ31" s="58"/>
      <c r="BA31" s="48"/>
      <c r="BB31" s="48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28"/>
      <c r="BP31" s="47"/>
      <c r="BQ31" s="47"/>
      <c r="BR31" s="48"/>
      <c r="BS31" s="47"/>
      <c r="BT31" s="46"/>
      <c r="BU31" s="48"/>
      <c r="BV31" s="28"/>
      <c r="BW31" s="28"/>
      <c r="BX31" s="28"/>
      <c r="BY31" s="28"/>
      <c r="BZ31" s="28"/>
      <c r="CA31" s="28"/>
      <c r="CB31" s="28"/>
      <c r="CC31" s="59"/>
      <c r="CD31" s="28"/>
      <c r="CE31" s="28"/>
      <c r="CF31" s="28"/>
      <c r="CG31" s="28"/>
      <c r="CH31" s="28"/>
      <c r="CI31" s="11">
        <f t="shared" ref="CI31:CU31" si="91">MAX(CI3,CI46:CI76)</f>
        <v>58.250608249920944</v>
      </c>
      <c r="CJ31" s="10">
        <f t="shared" si="91"/>
        <v>0.71183261955309352</v>
      </c>
      <c r="CK31" s="10">
        <f t="shared" si="91"/>
        <v>0.5706371191135734</v>
      </c>
      <c r="CL31" s="4">
        <f t="shared" si="91"/>
        <v>8.6999999999999993</v>
      </c>
      <c r="CM31" s="11">
        <f t="shared" si="91"/>
        <v>17.964601769911503</v>
      </c>
      <c r="CN31" s="4">
        <f t="shared" si="91"/>
        <v>17.251461988304094</v>
      </c>
      <c r="CO31" s="11">
        <f t="shared" si="91"/>
        <v>49.462365591397848</v>
      </c>
      <c r="CP31" s="4">
        <f t="shared" si="91"/>
        <v>6.0820423768831215</v>
      </c>
      <c r="CQ31" s="4">
        <f t="shared" si="91"/>
        <v>8.9530685920577611</v>
      </c>
      <c r="CR31" s="4">
        <f t="shared" si="91"/>
        <v>2.1052631578947367</v>
      </c>
      <c r="CS31" s="10">
        <f t="shared" si="91"/>
        <v>1.0981118940690484</v>
      </c>
      <c r="CT31" s="4">
        <f t="shared" si="91"/>
        <v>13.421052631578947</v>
      </c>
      <c r="CU31" s="11">
        <f t="shared" si="91"/>
        <v>972.0546975657486</v>
      </c>
      <c r="CV31" s="11"/>
      <c r="CW31" s="11">
        <f>MAX(CW3,CW46:CW76)</f>
        <v>56.15674124777523</v>
      </c>
      <c r="CX31" s="11">
        <f>MAX(CX3,CX46:CX76)</f>
        <v>5.3638103538731619</v>
      </c>
      <c r="CY31" s="11">
        <f>MAX(CY3,CY46:CY76)</f>
        <v>806.65262076595161</v>
      </c>
      <c r="CZ31" s="11">
        <f>MAX(CZ3,CZ46:CZ76)</f>
        <v>723.52262837818546</v>
      </c>
      <c r="DA31" s="11"/>
    </row>
    <row r="32" spans="1:105" s="79" customFormat="1" ht="14" customHeight="1">
      <c r="A32" s="70" t="s">
        <v>207</v>
      </c>
      <c r="B32" s="70"/>
      <c r="C32" s="70"/>
      <c r="D32" s="15"/>
      <c r="E32" s="16"/>
      <c r="F32" s="15"/>
      <c r="G32" s="15"/>
      <c r="H32" s="16"/>
      <c r="I32" s="15"/>
      <c r="J32" s="15"/>
      <c r="K32" s="16"/>
      <c r="L32" s="16"/>
      <c r="M32" s="16"/>
      <c r="N32" s="71"/>
      <c r="O32" s="72"/>
      <c r="P32" s="72"/>
      <c r="Q32" s="72"/>
      <c r="R32" s="15"/>
      <c r="S32" s="72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72"/>
      <c r="AG32" s="72"/>
      <c r="AH32" s="72"/>
      <c r="AI32" s="73"/>
      <c r="AJ32" s="74"/>
      <c r="AK32" s="74"/>
      <c r="AL32" s="74"/>
      <c r="AM32" s="74"/>
      <c r="AN32" s="75"/>
      <c r="AO32" s="75"/>
      <c r="AP32" s="75"/>
      <c r="AQ32" s="75"/>
      <c r="AR32" s="75"/>
      <c r="AS32" s="74"/>
      <c r="AT32" s="14"/>
      <c r="AU32" s="75"/>
      <c r="AV32" s="73"/>
      <c r="AW32" s="73"/>
      <c r="AX32" s="74"/>
      <c r="AY32" s="75"/>
      <c r="AZ32" s="76"/>
      <c r="BA32" s="73"/>
      <c r="BB32" s="73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5"/>
      <c r="BP32" s="77"/>
      <c r="BQ32" s="77"/>
      <c r="BR32" s="73"/>
      <c r="BS32" s="77"/>
      <c r="BT32" s="74"/>
      <c r="BU32" s="73"/>
      <c r="BV32" s="75"/>
      <c r="BW32" s="75"/>
      <c r="BX32" s="75"/>
      <c r="BY32" s="75"/>
      <c r="BZ32" s="75"/>
      <c r="CA32" s="75"/>
      <c r="CB32" s="75"/>
      <c r="CC32" s="78"/>
      <c r="CD32" s="75"/>
      <c r="CE32" s="75"/>
      <c r="CF32" s="75"/>
      <c r="CG32" s="75"/>
      <c r="CH32" s="75"/>
      <c r="CI32" s="14">
        <f t="shared" ref="CI32:CU32" si="92">COUNT(CI3,CI46:CI76)</f>
        <v>32</v>
      </c>
      <c r="CJ32" s="14">
        <f t="shared" si="92"/>
        <v>32</v>
      </c>
      <c r="CK32" s="14">
        <f t="shared" si="92"/>
        <v>32</v>
      </c>
      <c r="CL32" s="14">
        <f t="shared" si="92"/>
        <v>32</v>
      </c>
      <c r="CM32" s="14">
        <f t="shared" si="92"/>
        <v>32</v>
      </c>
      <c r="CN32" s="14">
        <f t="shared" si="92"/>
        <v>22</v>
      </c>
      <c r="CO32" s="14">
        <f t="shared" si="92"/>
        <v>32</v>
      </c>
      <c r="CP32" s="14">
        <f t="shared" si="92"/>
        <v>32</v>
      </c>
      <c r="CQ32" s="14">
        <f t="shared" si="92"/>
        <v>32</v>
      </c>
      <c r="CR32" s="14">
        <f t="shared" si="92"/>
        <v>32</v>
      </c>
      <c r="CS32" s="14">
        <f t="shared" si="92"/>
        <v>32</v>
      </c>
      <c r="CT32" s="14">
        <f t="shared" si="92"/>
        <v>32</v>
      </c>
      <c r="CU32" s="14">
        <f t="shared" si="92"/>
        <v>31</v>
      </c>
      <c r="CV32" s="14"/>
      <c r="CW32" s="14">
        <f>COUNT(CW3,CW46:CW76)</f>
        <v>31</v>
      </c>
      <c r="CX32" s="14">
        <f>COUNT(CX3,CX46:CX76)</f>
        <v>31</v>
      </c>
      <c r="CY32" s="14">
        <f>COUNT(CY3,CY46:CY76)</f>
        <v>21</v>
      </c>
      <c r="CZ32" s="14">
        <f>COUNT(CZ3,CZ46:CZ76)</f>
        <v>21</v>
      </c>
      <c r="DA32" s="14"/>
    </row>
    <row r="33" spans="1:120" s="60" customFormat="1" ht="14" customHeight="1">
      <c r="A33" s="34" t="s">
        <v>201</v>
      </c>
      <c r="B33" s="34"/>
      <c r="C33" s="34"/>
      <c r="D33" s="48">
        <f t="shared" ref="D33:AH33" si="93">AVERAGE(D5:D6,D9,D10:D13,D15:D16,D79:D84)</f>
        <v>72.64</v>
      </c>
      <c r="E33" s="47">
        <f t="shared" si="93"/>
        <v>0.37399999999999994</v>
      </c>
      <c r="F33" s="48">
        <f t="shared" si="93"/>
        <v>13.076666666666664</v>
      </c>
      <c r="G33" s="48">
        <f t="shared" si="93"/>
        <v>3.8586666666666667</v>
      </c>
      <c r="H33" s="47">
        <f t="shared" si="93"/>
        <v>6.0000000000000019E-2</v>
      </c>
      <c r="I33" s="48">
        <f t="shared" si="93"/>
        <v>0.73199999999999998</v>
      </c>
      <c r="J33" s="48">
        <f t="shared" si="93"/>
        <v>2.8180000000000001</v>
      </c>
      <c r="K33" s="47">
        <f t="shared" si="93"/>
        <v>5.0393333333333326</v>
      </c>
      <c r="L33" s="47">
        <f t="shared" si="93"/>
        <v>0.56666666666666665</v>
      </c>
      <c r="M33" s="47">
        <f t="shared" si="93"/>
        <v>9.0000000000000024E-2</v>
      </c>
      <c r="N33" s="62">
        <f t="shared" si="93"/>
        <v>2.4444444444444446E-2</v>
      </c>
      <c r="O33" s="59">
        <f t="shared" si="93"/>
        <v>2.3333333333333331E-3</v>
      </c>
      <c r="P33" s="59">
        <f t="shared" si="93"/>
        <v>1.111111111111111E-2</v>
      </c>
      <c r="Q33" s="59"/>
      <c r="R33" s="48">
        <f t="shared" si="93"/>
        <v>73.807834741646033</v>
      </c>
      <c r="S33" s="59">
        <f t="shared" si="93"/>
        <v>0.3970671178793006</v>
      </c>
      <c r="T33" s="47">
        <f t="shared" si="93"/>
        <v>12.813187439839327</v>
      </c>
      <c r="U33" s="47">
        <f t="shared" si="93"/>
        <v>3.3031371059726045</v>
      </c>
      <c r="V33" s="47">
        <f t="shared" si="93"/>
        <v>5.1170106015527655E-2</v>
      </c>
      <c r="W33" s="47">
        <f t="shared" si="93"/>
        <v>0.74349750548524018</v>
      </c>
      <c r="X33" s="47">
        <f t="shared" si="93"/>
        <v>3.0060546664447538</v>
      </c>
      <c r="Y33" s="47">
        <f t="shared" si="93"/>
        <v>5.1243600535410714</v>
      </c>
      <c r="Z33" s="47">
        <f t="shared" si="93"/>
        <v>0.62679858562539481</v>
      </c>
      <c r="AA33" s="47">
        <f t="shared" si="93"/>
        <v>9.6632566995798239E-2</v>
      </c>
      <c r="AB33" s="47">
        <f t="shared" si="93"/>
        <v>2.465385029647775E-2</v>
      </c>
      <c r="AC33" s="47">
        <f t="shared" si="93"/>
        <v>2.3453973796593564E-3</v>
      </c>
      <c r="AD33" s="47">
        <f t="shared" si="93"/>
        <v>1.1161511246461413E-2</v>
      </c>
      <c r="AE33" s="47"/>
      <c r="AF33" s="59">
        <f t="shared" si="93"/>
        <v>8.0000000000000016E-2</v>
      </c>
      <c r="AG33" s="59">
        <f t="shared" si="93"/>
        <v>0.12000000000000001</v>
      </c>
      <c r="AH33" s="59">
        <f t="shared" si="93"/>
        <v>1.1153333333333333</v>
      </c>
      <c r="AI33" s="48"/>
      <c r="AJ33" s="46"/>
      <c r="AK33" s="46"/>
      <c r="AL33" s="46"/>
      <c r="AM33" s="46"/>
      <c r="AN33" s="28"/>
      <c r="AO33" s="28"/>
      <c r="AP33" s="28"/>
      <c r="AQ33" s="28"/>
      <c r="AR33" s="28"/>
      <c r="AS33" s="46"/>
      <c r="AT33" s="46">
        <f>AVERAGE(AT5:AT6,AT9,AT10:AT13,AT16,AT79:AT84)</f>
        <v>11.2</v>
      </c>
      <c r="AU33" s="28"/>
      <c r="AV33" s="48"/>
      <c r="AW33" s="48"/>
      <c r="AX33" s="46"/>
      <c r="AY33" s="28"/>
      <c r="AZ33" s="58"/>
      <c r="BA33" s="48"/>
      <c r="BB33" s="48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28"/>
      <c r="BP33" s="47"/>
      <c r="BQ33" s="47"/>
      <c r="BR33" s="48"/>
      <c r="BS33" s="47"/>
      <c r="BT33" s="46"/>
      <c r="BU33" s="48"/>
      <c r="BV33" s="28"/>
      <c r="BW33" s="28"/>
      <c r="BX33" s="28"/>
      <c r="BY33" s="28"/>
      <c r="BZ33" s="28"/>
      <c r="CA33" s="28"/>
      <c r="CB33" s="28"/>
      <c r="CC33" s="59"/>
      <c r="CD33" s="28"/>
      <c r="CE33" s="28"/>
      <c r="CF33" s="28"/>
      <c r="CG33" s="28"/>
      <c r="CH33" s="28"/>
      <c r="CI33" s="46">
        <f t="shared" ref="CI33:CU33" si="94">AVERAGE(CI5:CI6,CI9,CI10:CI13,CI15:CI16,CI79:CI84)</f>
        <v>23.329021916731481</v>
      </c>
      <c r="CJ33" s="47">
        <f t="shared" si="94"/>
        <v>0.73764777791112768</v>
      </c>
      <c r="CK33" s="47">
        <f t="shared" si="94"/>
        <v>0.11911219231377723</v>
      </c>
      <c r="CL33" s="48">
        <f t="shared" si="94"/>
        <v>5.605999999999999</v>
      </c>
      <c r="CM33" s="46">
        <f t="shared" si="94"/>
        <v>2.2621790173770422</v>
      </c>
      <c r="CN33" s="48">
        <f t="shared" si="94"/>
        <v>5.9819562398801356</v>
      </c>
      <c r="CO33" s="48">
        <f t="shared" si="94"/>
        <v>16.380473230473232</v>
      </c>
      <c r="CP33" s="48">
        <f t="shared" si="94"/>
        <v>2.426583445517394</v>
      </c>
      <c r="CQ33" s="48">
        <f t="shared" si="94"/>
        <v>3.5720514073765361</v>
      </c>
      <c r="CR33" s="48">
        <f t="shared" si="94"/>
        <v>1.3698980854089062</v>
      </c>
      <c r="CS33" s="47">
        <f t="shared" si="94"/>
        <v>0.70462264777689754</v>
      </c>
      <c r="CT33" s="48">
        <f t="shared" si="94"/>
        <v>1.7759625322554384</v>
      </c>
      <c r="CU33" s="46">
        <f t="shared" si="94"/>
        <v>891.95431109564208</v>
      </c>
      <c r="CV33" s="46"/>
      <c r="CW33" s="46">
        <f>AVERAGE(CW5:CW6,CW9,CW10:CW13,CW15:CW16,CW79:CW84)</f>
        <v>47.168408235639177</v>
      </c>
      <c r="CX33" s="46">
        <f>AVERAGE(CX5:CX6,CX9,CX10:CX13,CX15:CX16,CX79:CX84)</f>
        <v>1.6657966889254612</v>
      </c>
      <c r="CY33" s="46">
        <f>AVERAGE(CY5:CY6,CY9,CY10:CY13,CY15:CY16,CY79:CY84)</f>
        <v>816.3360571915789</v>
      </c>
      <c r="CZ33" s="46">
        <f>AVERAGE(CZ5:CZ6,CZ9,CZ10:CZ13,CZ15:CZ16,CZ79:CZ84)</f>
        <v>768.47135021383281</v>
      </c>
      <c r="DA33" s="46"/>
    </row>
    <row r="34" spans="1:120" ht="14" customHeight="1">
      <c r="A34" s="34" t="s">
        <v>204</v>
      </c>
      <c r="B34" s="3"/>
      <c r="C34" s="3"/>
      <c r="D34" s="4">
        <f t="shared" ref="D34:AH34" si="95">_xlfn.STDEV.S(D5:D6,D10:D13,D15:D16,D79:D84)</f>
        <v>4.0320215527943031</v>
      </c>
      <c r="E34" s="10">
        <f t="shared" si="95"/>
        <v>0.16169602467471003</v>
      </c>
      <c r="F34" s="4">
        <f t="shared" si="95"/>
        <v>1.4617513581204744</v>
      </c>
      <c r="G34" s="4">
        <f t="shared" si="95"/>
        <v>2.2162159612305801</v>
      </c>
      <c r="H34" s="10">
        <f t="shared" si="95"/>
        <v>4.7630676235818008E-2</v>
      </c>
      <c r="I34" s="4">
        <f t="shared" si="95"/>
        <v>0.509337535701744</v>
      </c>
      <c r="J34" s="4">
        <f t="shared" si="95"/>
        <v>1.1920487489109743</v>
      </c>
      <c r="K34" s="10">
        <f t="shared" si="95"/>
        <v>0.57592734584521421</v>
      </c>
      <c r="L34" s="10">
        <f t="shared" si="95"/>
        <v>0.2860924694900252</v>
      </c>
      <c r="M34" s="10">
        <f t="shared" si="95"/>
        <v>6.308898303364685E-2</v>
      </c>
      <c r="N34" s="36">
        <f t="shared" si="95"/>
        <v>1.3024701806293188E-2</v>
      </c>
      <c r="O34" s="12">
        <f t="shared" si="95"/>
        <v>5.1754916950676568E-4</v>
      </c>
      <c r="P34" s="12">
        <f t="shared" si="95"/>
        <v>5.3452248382484914E-3</v>
      </c>
      <c r="Q34" s="12"/>
      <c r="R34" s="4">
        <f t="shared" si="95"/>
        <v>4.7280903262954741</v>
      </c>
      <c r="S34" s="12">
        <f t="shared" si="95"/>
        <v>0.20355266655597376</v>
      </c>
      <c r="T34" s="10">
        <f t="shared" si="95"/>
        <v>1.4153552563704115</v>
      </c>
      <c r="U34" s="10">
        <f t="shared" si="95"/>
        <v>2.3125095483366098</v>
      </c>
      <c r="V34" s="10">
        <f t="shared" si="95"/>
        <v>5.1113048106525852E-2</v>
      </c>
      <c r="W34" s="10">
        <f t="shared" si="95"/>
        <v>0.49576914855519899</v>
      </c>
      <c r="X34" s="10">
        <f t="shared" si="95"/>
        <v>1.3603840339427506</v>
      </c>
      <c r="Y34" s="10">
        <f t="shared" si="95"/>
        <v>0.6293158292813047</v>
      </c>
      <c r="Z34" s="10">
        <f t="shared" si="95"/>
        <v>0.31106866580377462</v>
      </c>
      <c r="AA34" s="10">
        <f t="shared" si="95"/>
        <v>7.7184000867770344E-2</v>
      </c>
      <c r="AB34" s="10">
        <f t="shared" si="95"/>
        <v>1.3292510850688726E-2</v>
      </c>
      <c r="AC34" s="10">
        <f t="shared" si="95"/>
        <v>5.1192500089361167E-4</v>
      </c>
      <c r="AD34" s="10">
        <f t="shared" si="95"/>
        <v>5.3310947019365781E-3</v>
      </c>
      <c r="AE34" s="10"/>
      <c r="AF34" s="12">
        <f t="shared" si="95"/>
        <v>0.11323174718880115</v>
      </c>
      <c r="AG34" s="12">
        <f t="shared" si="95"/>
        <v>0.15556349186104046</v>
      </c>
      <c r="AH34" s="12">
        <f t="shared" si="95"/>
        <v>0.42473068389999041</v>
      </c>
      <c r="AI34" s="4"/>
      <c r="AJ34" s="11"/>
      <c r="AK34" s="11"/>
      <c r="AL34" s="11"/>
      <c r="AM34" s="11"/>
      <c r="AN34" s="9"/>
      <c r="AO34" s="9"/>
      <c r="AP34" s="9"/>
      <c r="AQ34" s="9"/>
      <c r="AR34" s="9"/>
      <c r="AS34" s="11"/>
      <c r="AT34" s="11">
        <f>_xlfn.STDEV.S(AT5:AT6,AT10:AT13,AT16,AT79:AT84)</f>
        <v>8.5146931829632013</v>
      </c>
      <c r="AU34" s="9"/>
      <c r="AV34" s="4"/>
      <c r="AW34" s="4"/>
      <c r="AX34" s="11"/>
      <c r="AY34" s="9"/>
      <c r="AZ34" s="17"/>
      <c r="BA34" s="4"/>
      <c r="BB34" s="4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9"/>
      <c r="BP34" s="10"/>
      <c r="BQ34" s="10"/>
      <c r="BR34" s="4"/>
      <c r="BS34" s="10"/>
      <c r="BT34" s="11"/>
      <c r="BU34" s="4"/>
      <c r="BV34" s="9"/>
      <c r="BW34" s="9"/>
      <c r="BX34" s="9"/>
      <c r="BY34" s="9"/>
      <c r="BZ34" s="9"/>
      <c r="CA34" s="9"/>
      <c r="CB34" s="9"/>
      <c r="CC34" s="12"/>
      <c r="CD34" s="9"/>
      <c r="CE34" s="9"/>
      <c r="CF34" s="9"/>
      <c r="CG34" s="9"/>
      <c r="CH34" s="9"/>
      <c r="CI34" s="11">
        <f t="shared" ref="CI34:CU34" si="96">_xlfn.STDEV.S(CI5:CI6,CI10:CI13,CI15:CI16,CI79:CI84)</f>
        <v>15.058733768235248</v>
      </c>
      <c r="CJ34" s="10">
        <f t="shared" si="96"/>
        <v>0.13163429713512637</v>
      </c>
      <c r="CK34" s="10">
        <f t="shared" si="96"/>
        <v>7.1289836173802495E-2</v>
      </c>
      <c r="CL34" s="4">
        <f t="shared" si="96"/>
        <v>0.50310082444818127</v>
      </c>
      <c r="CM34" s="11">
        <f t="shared" si="96"/>
        <v>1.0640811762570661</v>
      </c>
      <c r="CN34" s="4">
        <f t="shared" si="96"/>
        <v>3.3608461740852449</v>
      </c>
      <c r="CO34" s="4">
        <f t="shared" si="96"/>
        <v>4.6716631928167134</v>
      </c>
      <c r="CP34" s="4">
        <f t="shared" si="96"/>
        <v>1.1434286363030475</v>
      </c>
      <c r="CQ34" s="4">
        <f t="shared" si="96"/>
        <v>1.6831837689678395</v>
      </c>
      <c r="CR34" s="4">
        <f t="shared" si="96"/>
        <v>0.13056331004478608</v>
      </c>
      <c r="CS34" s="10">
        <f t="shared" si="96"/>
        <v>0.20883793180522808</v>
      </c>
      <c r="CT34" s="4">
        <f t="shared" si="96"/>
        <v>0.76447916934999294</v>
      </c>
      <c r="CU34" s="11">
        <f t="shared" si="96"/>
        <v>39.109060612788056</v>
      </c>
      <c r="CV34" s="11"/>
      <c r="CW34" s="11">
        <f>_xlfn.STDEV.S(CW5:CW6,CW10:CW13,CW15:CW16,CW79:CW84)</f>
        <v>1.1010571941920206</v>
      </c>
      <c r="CX34" s="11">
        <f>_xlfn.STDEV.S(CX5:CX6,CX10:CX13,CX15:CX16,CX79:CX84)</f>
        <v>0.35419786855846103</v>
      </c>
      <c r="CY34" s="11">
        <f>_xlfn.STDEV.S(CY5:CY6,CY10:CY13,CY15:CY16,CY79:CY84)</f>
        <v>43.892051678954331</v>
      </c>
      <c r="CZ34" s="11">
        <f>_xlfn.STDEV.S(CZ5:CZ6,CZ10:CZ13,CZ15:CZ16,CZ79:CZ84)</f>
        <v>58.587009014384705</v>
      </c>
      <c r="DA34" s="11"/>
    </row>
    <row r="35" spans="1:120" ht="14" customHeight="1">
      <c r="A35" s="34" t="s">
        <v>205</v>
      </c>
      <c r="B35" s="3"/>
      <c r="C35" s="3"/>
      <c r="D35" s="4">
        <f t="shared" ref="D35:AH35" si="97">MIN(D5:D6,D9,D10:D13,D15:D16,D79:D84)</f>
        <v>63.1</v>
      </c>
      <c r="E35" s="10">
        <f t="shared" si="97"/>
        <v>0.13</v>
      </c>
      <c r="F35" s="4">
        <f t="shared" si="97"/>
        <v>10.6</v>
      </c>
      <c r="G35" s="4">
        <f t="shared" si="97"/>
        <v>0.78</v>
      </c>
      <c r="H35" s="10">
        <f t="shared" si="97"/>
        <v>0.01</v>
      </c>
      <c r="I35" s="4">
        <f t="shared" si="97"/>
        <v>0.17</v>
      </c>
      <c r="J35" s="4">
        <f t="shared" si="97"/>
        <v>0.6</v>
      </c>
      <c r="K35" s="10">
        <f t="shared" si="97"/>
        <v>4.0999999999999996</v>
      </c>
      <c r="L35" s="10">
        <f t="shared" si="97"/>
        <v>0.2</v>
      </c>
      <c r="M35" s="10">
        <f t="shared" si="97"/>
        <v>0.02</v>
      </c>
      <c r="N35" s="36">
        <f t="shared" si="97"/>
        <v>0.01</v>
      </c>
      <c r="O35" s="12">
        <f t="shared" si="97"/>
        <v>2E-3</v>
      </c>
      <c r="P35" s="12">
        <f t="shared" si="97"/>
        <v>0</v>
      </c>
      <c r="Q35" s="12"/>
      <c r="R35" s="4">
        <f t="shared" si="97"/>
        <v>62.829831723588576</v>
      </c>
      <c r="S35" s="12">
        <f t="shared" si="97"/>
        <v>0.13197969543147209</v>
      </c>
      <c r="T35" s="10">
        <f t="shared" si="97"/>
        <v>10.580954282291875</v>
      </c>
      <c r="U35" s="10">
        <f t="shared" si="97"/>
        <v>0.80255170285008748</v>
      </c>
      <c r="V35" s="10">
        <f t="shared" si="97"/>
        <v>9.982032341784788E-3</v>
      </c>
      <c r="W35" s="10">
        <f t="shared" si="97"/>
        <v>0.16969454981034141</v>
      </c>
      <c r="X35" s="10">
        <f t="shared" si="97"/>
        <v>1.0081852665202635</v>
      </c>
      <c r="Y35" s="10">
        <f t="shared" si="97"/>
        <v>4.1624365482233499</v>
      </c>
      <c r="Z35" s="10">
        <f t="shared" si="97"/>
        <v>0.20910086627501745</v>
      </c>
      <c r="AA35" s="10">
        <f t="shared" si="97"/>
        <v>1.9964064683569576E-2</v>
      </c>
      <c r="AB35" s="10">
        <f t="shared" si="97"/>
        <v>9.9571841083341637E-3</v>
      </c>
      <c r="AC35" s="10">
        <f t="shared" si="97"/>
        <v>1.9914368216668327E-3</v>
      </c>
      <c r="AD35" s="10">
        <f t="shared" si="97"/>
        <v>0</v>
      </c>
      <c r="AE35" s="10"/>
      <c r="AF35" s="12">
        <f t="shared" si="97"/>
        <v>0.01</v>
      </c>
      <c r="AG35" s="12">
        <f t="shared" si="97"/>
        <v>0.01</v>
      </c>
      <c r="AH35" s="12">
        <f t="shared" si="97"/>
        <v>0.4</v>
      </c>
      <c r="AI35" s="4"/>
      <c r="AJ35" s="11"/>
      <c r="AK35" s="11"/>
      <c r="AL35" s="11"/>
      <c r="AM35" s="11"/>
      <c r="AN35" s="9"/>
      <c r="AO35" s="9"/>
      <c r="AP35" s="9"/>
      <c r="AQ35" s="9"/>
      <c r="AR35" s="9"/>
      <c r="AS35" s="11"/>
      <c r="AT35" s="11">
        <f>MIN(AT5:AT6,AT9,AT10:AT13,AT16,AT79:AT84)</f>
        <v>1</v>
      </c>
      <c r="AU35" s="9"/>
      <c r="AV35" s="4"/>
      <c r="AW35" s="4"/>
      <c r="AX35" s="11"/>
      <c r="AY35" s="9"/>
      <c r="AZ35" s="17"/>
      <c r="BA35" s="4"/>
      <c r="BB35" s="4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9"/>
      <c r="BP35" s="10"/>
      <c r="BQ35" s="10"/>
      <c r="BR35" s="4"/>
      <c r="BS35" s="10"/>
      <c r="BT35" s="11"/>
      <c r="BU35" s="4"/>
      <c r="BV35" s="9"/>
      <c r="BW35" s="9"/>
      <c r="BX35" s="9"/>
      <c r="BY35" s="9"/>
      <c r="BZ35" s="9"/>
      <c r="CA35" s="9"/>
      <c r="CB35" s="9"/>
      <c r="CC35" s="12"/>
      <c r="CD35" s="9"/>
      <c r="CE35" s="9"/>
      <c r="CF35" s="9"/>
      <c r="CG35" s="9"/>
      <c r="CH35" s="9"/>
      <c r="CI35" s="11">
        <f t="shared" ref="CI35:CU35" si="98">MIN(CI5:CI6,CI9,CI10:CI13,CI15:CI16,CI79:CI84)</f>
        <v>4.4067341877327548</v>
      </c>
      <c r="CJ35" s="10">
        <f t="shared" si="98"/>
        <v>0.48761952788837915</v>
      </c>
      <c r="CK35" s="10">
        <f t="shared" si="98"/>
        <v>3.0656934306569343E-2</v>
      </c>
      <c r="CL35" s="4">
        <f t="shared" si="98"/>
        <v>4.7</v>
      </c>
      <c r="CM35" s="11">
        <f t="shared" si="98"/>
        <v>0.73789649415692826</v>
      </c>
      <c r="CN35" s="4">
        <f t="shared" si="98"/>
        <v>2.7358490566037736</v>
      </c>
      <c r="CO35" s="4">
        <f t="shared" si="98"/>
        <v>10.18181818181818</v>
      </c>
      <c r="CP35" s="4">
        <f t="shared" si="98"/>
        <v>1.3152886255498699</v>
      </c>
      <c r="CQ35" s="4">
        <f t="shared" si="98"/>
        <v>1.9361702127659572</v>
      </c>
      <c r="CR35" s="4">
        <f t="shared" si="98"/>
        <v>1.0168195718654436</v>
      </c>
      <c r="CS35" s="10">
        <f t="shared" si="98"/>
        <v>0.42360969878742588</v>
      </c>
      <c r="CT35" s="4">
        <f t="shared" si="98"/>
        <v>0.42105263157894735</v>
      </c>
      <c r="CU35" s="11">
        <f t="shared" si="98"/>
        <v>841.84249308022902</v>
      </c>
      <c r="CV35" s="11"/>
      <c r="CW35" s="11">
        <f>MIN(CW5:CW6,CW9,CW10:CW13,CW15:CW16,CW79:CW84)</f>
        <v>45.036631707032164</v>
      </c>
      <c r="CX35" s="11">
        <f>MIN(CX5:CX6,CX9,CX10:CX13,CX15:CX16,CX79:CX84)</f>
        <v>0.92022604998714419</v>
      </c>
      <c r="CY35" s="11">
        <f>MIN(CY5:CY6,CY9,CY10:CY13,CY15:CY16,CY79:CY84)</f>
        <v>680.56621818738279</v>
      </c>
      <c r="CZ35" s="11">
        <f>MIN(CZ5:CZ6,CZ9,CZ10:CZ13,CZ15:CZ16,CZ79:CZ84)</f>
        <v>579.41332042825491</v>
      </c>
      <c r="DA35" s="11"/>
    </row>
    <row r="36" spans="1:120" ht="14" customHeight="1">
      <c r="A36" s="34" t="s">
        <v>206</v>
      </c>
      <c r="B36" s="3"/>
      <c r="C36" s="3"/>
      <c r="D36" s="4">
        <f t="shared" ref="D36:AH36" si="99">MAX(D5:D6,D9,D10:D13,D15:D16,D79:D84)</f>
        <v>80.099999999999994</v>
      </c>
      <c r="E36" s="10">
        <f t="shared" si="99"/>
        <v>1.1200000000000001</v>
      </c>
      <c r="F36" s="4">
        <f t="shared" si="99"/>
        <v>15.8</v>
      </c>
      <c r="G36" s="4">
        <f t="shared" si="99"/>
        <v>8.35</v>
      </c>
      <c r="H36" s="10">
        <f t="shared" si="99"/>
        <v>0.17</v>
      </c>
      <c r="I36" s="4">
        <f t="shared" si="99"/>
        <v>2.67</v>
      </c>
      <c r="J36" s="4">
        <f t="shared" si="99"/>
        <v>7.07</v>
      </c>
      <c r="K36" s="10">
        <f t="shared" si="99"/>
        <v>6.85</v>
      </c>
      <c r="L36" s="10">
        <f t="shared" si="99"/>
        <v>1.34</v>
      </c>
      <c r="M36" s="10">
        <f t="shared" si="99"/>
        <v>0.28999999999999998</v>
      </c>
      <c r="N36" s="36">
        <f t="shared" si="99"/>
        <v>0.05</v>
      </c>
      <c r="O36" s="12">
        <f t="shared" si="99"/>
        <v>3.0000000000000001E-3</v>
      </c>
      <c r="P36" s="12">
        <f t="shared" si="99"/>
        <v>0.02</v>
      </c>
      <c r="Q36" s="12"/>
      <c r="R36" s="4">
        <f t="shared" si="99"/>
        <v>79.956079057696144</v>
      </c>
      <c r="S36" s="12">
        <f t="shared" si="99"/>
        <v>1.1370558375634519</v>
      </c>
      <c r="T36" s="10">
        <f t="shared" si="99"/>
        <v>15.533207209001295</v>
      </c>
      <c r="U36" s="10">
        <f t="shared" si="99"/>
        <v>8.3200478278198489</v>
      </c>
      <c r="V36" s="10">
        <f t="shared" si="99"/>
        <v>0.16939019529693106</v>
      </c>
      <c r="W36" s="10">
        <f t="shared" si="99"/>
        <v>2.6585681569252215</v>
      </c>
      <c r="X36" s="10">
        <f t="shared" si="99"/>
        <v>7.039729164592254</v>
      </c>
      <c r="Y36" s="10">
        <f t="shared" si="99"/>
        <v>6.8206711142089018</v>
      </c>
      <c r="Z36" s="10">
        <f t="shared" si="99"/>
        <v>1.3604060913705585</v>
      </c>
      <c r="AA36" s="10">
        <f t="shared" si="99"/>
        <v>0.28875833914169069</v>
      </c>
      <c r="AB36" s="10">
        <f t="shared" si="99"/>
        <v>5.0761421319796954E-2</v>
      </c>
      <c r="AC36" s="10">
        <f t="shared" si="99"/>
        <v>3.0407459963511046E-3</v>
      </c>
      <c r="AD36" s="10">
        <f t="shared" si="99"/>
        <v>1.9942167713630471E-2</v>
      </c>
      <c r="AE36" s="10"/>
      <c r="AF36" s="12">
        <f t="shared" si="99"/>
        <v>0.33</v>
      </c>
      <c r="AG36" s="12">
        <f t="shared" si="99"/>
        <v>0.34</v>
      </c>
      <c r="AH36" s="12">
        <f t="shared" si="99"/>
        <v>2.1</v>
      </c>
      <c r="AI36" s="4"/>
      <c r="AJ36" s="11"/>
      <c r="AK36" s="11"/>
      <c r="AL36" s="11"/>
      <c r="AM36" s="11"/>
      <c r="AN36" s="9"/>
      <c r="AO36" s="9"/>
      <c r="AP36" s="9"/>
      <c r="AQ36" s="9"/>
      <c r="AR36" s="9"/>
      <c r="AS36" s="11"/>
      <c r="AT36" s="11">
        <f>MAX(AT5:AT6,AT9,AT10:AT13,AT16,AT79:AT84)</f>
        <v>28</v>
      </c>
      <c r="AU36" s="9"/>
      <c r="AV36" s="4"/>
      <c r="AW36" s="4"/>
      <c r="AX36" s="11"/>
      <c r="AY36" s="9"/>
      <c r="AZ36" s="17"/>
      <c r="BA36" s="4"/>
      <c r="BB36" s="4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9"/>
      <c r="BP36" s="10"/>
      <c r="BQ36" s="10"/>
      <c r="BR36" s="4"/>
      <c r="BS36" s="10"/>
      <c r="BT36" s="11"/>
      <c r="BU36" s="4"/>
      <c r="BV36" s="9"/>
      <c r="BW36" s="9"/>
      <c r="BX36" s="9"/>
      <c r="BY36" s="9"/>
      <c r="BZ36" s="9"/>
      <c r="CA36" s="9"/>
      <c r="CB36" s="9"/>
      <c r="CC36" s="12"/>
      <c r="CD36" s="9"/>
      <c r="CE36" s="9"/>
      <c r="CF36" s="9"/>
      <c r="CG36" s="9"/>
      <c r="CH36" s="9"/>
      <c r="CI36" s="11">
        <f t="shared" ref="CI36:CU36" si="100">MAX(CI5:CI6,CI9,CI10:CI13,CI15:CI16,CI79:CI84)</f>
        <v>60.016676265081152</v>
      </c>
      <c r="CJ36" s="10">
        <f t="shared" si="100"/>
        <v>1.1263130587927179</v>
      </c>
      <c r="CK36" s="10">
        <f t="shared" si="100"/>
        <v>0.326829268292683</v>
      </c>
      <c r="CL36" s="4">
        <f t="shared" si="100"/>
        <v>7.06</v>
      </c>
      <c r="CM36" s="11">
        <f t="shared" si="100"/>
        <v>5.125</v>
      </c>
      <c r="CN36" s="4">
        <f t="shared" si="100"/>
        <v>14.90625</v>
      </c>
      <c r="CO36" s="4">
        <f t="shared" si="100"/>
        <v>27.5</v>
      </c>
      <c r="CP36" s="4">
        <f t="shared" si="100"/>
        <v>4.9959319596601777</v>
      </c>
      <c r="CQ36" s="4">
        <f t="shared" si="100"/>
        <v>7.3542600896860986</v>
      </c>
      <c r="CR36" s="4">
        <f t="shared" si="100"/>
        <v>1.5913793103448277</v>
      </c>
      <c r="CS36" s="10">
        <f t="shared" si="100"/>
        <v>1.0039420076985315</v>
      </c>
      <c r="CT36" s="4">
        <f t="shared" si="100"/>
        <v>4.5217391304347823</v>
      </c>
      <c r="CU36" s="11">
        <f t="shared" si="100"/>
        <v>981.88724880236384</v>
      </c>
      <c r="CV36" s="11"/>
      <c r="CW36" s="11">
        <f>MAX(CW5:CW6,CW9,CW10:CW13,CW15:CW16,CW79:CW84)</f>
        <v>49.0917181312807</v>
      </c>
      <c r="CX36" s="11">
        <f>MAX(CX5:CX6,CX9,CX10:CX13,CX15:CX16,CX79:CX84)</f>
        <v>3.0966928154703726</v>
      </c>
      <c r="CY36" s="11">
        <f>MAX(CY5:CY6,CY9,CY10:CY13,CY15:CY16,CY79:CY84)</f>
        <v>878.11875713099869</v>
      </c>
      <c r="CZ36" s="11">
        <f>MAX(CZ5:CZ6,CZ9,CZ10:CZ13,CZ15:CZ16,CZ79:CZ84)</f>
        <v>860.72730569874136</v>
      </c>
      <c r="DA36" s="11"/>
    </row>
    <row r="37" spans="1:120" s="81" customFormat="1" ht="14" customHeight="1">
      <c r="A37" s="70" t="s">
        <v>207</v>
      </c>
      <c r="B37" s="18"/>
      <c r="C37" s="18"/>
      <c r="D37" s="15"/>
      <c r="E37" s="16"/>
      <c r="F37" s="15"/>
      <c r="G37" s="15"/>
      <c r="H37" s="16"/>
      <c r="I37" s="15"/>
      <c r="J37" s="15"/>
      <c r="K37" s="16"/>
      <c r="L37" s="16"/>
      <c r="M37" s="16"/>
      <c r="N37" s="71"/>
      <c r="O37" s="72"/>
      <c r="P37" s="72"/>
      <c r="Q37" s="72"/>
      <c r="R37" s="15"/>
      <c r="S37" s="72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72"/>
      <c r="AG37" s="72"/>
      <c r="AH37" s="72"/>
      <c r="AI37" s="15"/>
      <c r="AJ37" s="14"/>
      <c r="AK37" s="14"/>
      <c r="AL37" s="14"/>
      <c r="AM37" s="14"/>
      <c r="AN37" s="6"/>
      <c r="AO37" s="6"/>
      <c r="AP37" s="6"/>
      <c r="AQ37" s="6"/>
      <c r="AR37" s="6"/>
      <c r="AS37" s="14"/>
      <c r="AT37" s="14"/>
      <c r="AU37" s="6"/>
      <c r="AV37" s="15"/>
      <c r="AW37" s="15"/>
      <c r="AX37" s="14"/>
      <c r="AY37" s="6"/>
      <c r="AZ37" s="80"/>
      <c r="BA37" s="15"/>
      <c r="BB37" s="15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6"/>
      <c r="BP37" s="16"/>
      <c r="BQ37" s="16"/>
      <c r="BR37" s="15"/>
      <c r="BS37" s="16"/>
      <c r="BT37" s="14"/>
      <c r="BU37" s="15"/>
      <c r="BV37" s="6"/>
      <c r="BW37" s="6"/>
      <c r="BX37" s="6"/>
      <c r="BY37" s="6"/>
      <c r="BZ37" s="6"/>
      <c r="CA37" s="6"/>
      <c r="CB37" s="6"/>
      <c r="CC37" s="72"/>
      <c r="CD37" s="6"/>
      <c r="CE37" s="6"/>
      <c r="CF37" s="6"/>
      <c r="CG37" s="6"/>
      <c r="CH37" s="6"/>
      <c r="CI37" s="74">
        <f t="shared" ref="CI37:CU37" si="101">COUNT(CI5:CI6,CI9,CI10:CI13,CI15:CI16,CI79:CI84)</f>
        <v>15</v>
      </c>
      <c r="CJ37" s="74">
        <f t="shared" si="101"/>
        <v>15</v>
      </c>
      <c r="CK37" s="74">
        <f t="shared" si="101"/>
        <v>15</v>
      </c>
      <c r="CL37" s="74">
        <f t="shared" si="101"/>
        <v>15</v>
      </c>
      <c r="CM37" s="74">
        <f t="shared" si="101"/>
        <v>15</v>
      </c>
      <c r="CN37" s="74">
        <f t="shared" si="101"/>
        <v>15</v>
      </c>
      <c r="CO37" s="74">
        <f t="shared" si="101"/>
        <v>15</v>
      </c>
      <c r="CP37" s="74">
        <f t="shared" si="101"/>
        <v>15</v>
      </c>
      <c r="CQ37" s="74">
        <f t="shared" si="101"/>
        <v>15</v>
      </c>
      <c r="CR37" s="74">
        <f t="shared" si="101"/>
        <v>15</v>
      </c>
      <c r="CS37" s="74">
        <f t="shared" si="101"/>
        <v>15</v>
      </c>
      <c r="CT37" s="74">
        <f t="shared" si="101"/>
        <v>11</v>
      </c>
      <c r="CU37" s="74">
        <f t="shared" si="101"/>
        <v>15</v>
      </c>
      <c r="CV37" s="74"/>
      <c r="CW37" s="74">
        <f>COUNT(CW5:CW6,CW9,CW10:CW13,CW15:CW16,CW79:CW84)</f>
        <v>15</v>
      </c>
      <c r="CX37" s="74">
        <f>COUNT(CX5:CX6,CX9,CX10:CX13,CX15:CX16,CX79:CX84)</f>
        <v>15</v>
      </c>
      <c r="CY37" s="74">
        <f>COUNT(CY5:CY6,CY9,CY10:CY13,CY15:CY16,CY79:CY84)</f>
        <v>15</v>
      </c>
      <c r="CZ37" s="74">
        <f>COUNT(CZ5:CZ6,CZ9,CZ10:CZ13,CZ15:CZ16,CZ79:CZ84)</f>
        <v>15</v>
      </c>
      <c r="DA37" s="14"/>
    </row>
    <row r="38" spans="1:120" s="60" customFormat="1">
      <c r="A38" s="34" t="s">
        <v>199</v>
      </c>
      <c r="D38" s="48">
        <f t="shared" ref="D38:AH38" si="102">AVERAGE(D17:D19,D87:D96)</f>
        <v>65.104615384615386</v>
      </c>
      <c r="E38" s="47">
        <f t="shared" si="102"/>
        <v>0.50230769230769234</v>
      </c>
      <c r="F38" s="48">
        <f t="shared" si="102"/>
        <v>15.973846153846154</v>
      </c>
      <c r="G38" s="48">
        <f t="shared" si="102"/>
        <v>4.4123076923076923</v>
      </c>
      <c r="H38" s="47">
        <f t="shared" si="102"/>
        <v>4.9692307692307702E-2</v>
      </c>
      <c r="I38" s="48">
        <f t="shared" si="102"/>
        <v>2.2230769230769232</v>
      </c>
      <c r="J38" s="48">
        <f t="shared" si="102"/>
        <v>4.1676923076923087</v>
      </c>
      <c r="K38" s="47">
        <f t="shared" si="102"/>
        <v>4.3007692307692311</v>
      </c>
      <c r="L38" s="47">
        <f t="shared" si="102"/>
        <v>1.2238461538461538</v>
      </c>
      <c r="M38" s="47">
        <f t="shared" si="102"/>
        <v>0.12769230769230774</v>
      </c>
      <c r="N38" s="62">
        <f t="shared" si="102"/>
        <v>3.3333333333333333E-2</v>
      </c>
      <c r="O38" s="59">
        <f t="shared" si="102"/>
        <v>5.0000000000000001E-3</v>
      </c>
      <c r="P38" s="59">
        <f t="shared" si="102"/>
        <v>3.6666666666666667E-2</v>
      </c>
      <c r="Q38" s="59"/>
      <c r="R38" s="48">
        <f t="shared" si="102"/>
        <v>66.381401666257716</v>
      </c>
      <c r="S38" s="59">
        <f t="shared" si="102"/>
        <v>0.50995704802811403</v>
      </c>
      <c r="T38" s="47">
        <f t="shared" si="102"/>
        <v>16.275447058885423</v>
      </c>
      <c r="U38" s="47">
        <f t="shared" si="102"/>
        <v>4.4928506793415233</v>
      </c>
      <c r="V38" s="47">
        <f t="shared" si="102"/>
        <v>5.0544557529484689E-2</v>
      </c>
      <c r="W38" s="47">
        <f t="shared" si="102"/>
        <v>2.2612279414942127</v>
      </c>
      <c r="X38" s="47">
        <f t="shared" si="102"/>
        <v>4.2388542057275371</v>
      </c>
      <c r="Y38" s="47">
        <f t="shared" si="102"/>
        <v>4.3867875492984316</v>
      </c>
      <c r="Z38" s="47">
        <f t="shared" si="102"/>
        <v>1.249273836352669</v>
      </c>
      <c r="AA38" s="47">
        <f t="shared" si="102"/>
        <v>0.13009145043193568</v>
      </c>
      <c r="AB38" s="47">
        <f t="shared" si="102"/>
        <v>7.7824573582191275E-3</v>
      </c>
      <c r="AC38" s="47">
        <f t="shared" si="102"/>
        <v>1.1639419046506117E-3</v>
      </c>
      <c r="AD38" s="47">
        <f t="shared" si="102"/>
        <v>8.5359044526655391E-3</v>
      </c>
      <c r="AE38" s="47"/>
      <c r="AF38" s="59">
        <f t="shared" si="102"/>
        <v>1.6666666666666666E-2</v>
      </c>
      <c r="AG38" s="59">
        <f t="shared" si="102"/>
        <v>0.06</v>
      </c>
      <c r="AH38" s="59">
        <f t="shared" si="102"/>
        <v>2.1923076923076921</v>
      </c>
      <c r="AI38" s="61"/>
      <c r="AJ38" s="46"/>
      <c r="AK38" s="46"/>
      <c r="AL38" s="46"/>
      <c r="AT38" s="46">
        <f>AVERAGE(AT17:AT19)</f>
        <v>43.333333333333336</v>
      </c>
      <c r="CI38" s="46">
        <f t="shared" ref="CI38:CU38" si="103">AVERAGE(CI17:CI19,CI87:CI96)</f>
        <v>43.662653058926011</v>
      </c>
      <c r="CJ38" s="47">
        <f t="shared" si="103"/>
        <v>0.76839496616802472</v>
      </c>
      <c r="CK38" s="47">
        <f t="shared" si="103"/>
        <v>0.28425737846718246</v>
      </c>
      <c r="CL38" s="48">
        <f t="shared" si="103"/>
        <v>5.5246153846153838</v>
      </c>
      <c r="CM38" s="46">
        <f t="shared" si="103"/>
        <v>30.869475779422455</v>
      </c>
      <c r="CN38" s="48">
        <f t="shared" si="103"/>
        <v>12.547237693804162</v>
      </c>
      <c r="CO38" s="48">
        <f t="shared" si="103"/>
        <v>12.514275142160207</v>
      </c>
      <c r="CP38" s="48">
        <f t="shared" si="103"/>
        <v>8.4111669931801405</v>
      </c>
      <c r="CQ38" s="48">
        <f t="shared" si="103"/>
        <v>12.381655760147162</v>
      </c>
      <c r="CR38" s="48">
        <f t="shared" si="103"/>
        <v>1.9386714049976339</v>
      </c>
      <c r="CS38" s="47">
        <f t="shared" si="103"/>
        <v>1.0944288721367954</v>
      </c>
      <c r="CT38" s="48">
        <f t="shared" si="103"/>
        <v>13.046957671957671</v>
      </c>
      <c r="CU38" s="46">
        <f t="shared" si="103"/>
        <v>873.04856369229753</v>
      </c>
      <c r="CV38" s="46"/>
      <c r="CW38" s="46">
        <f>AVERAGE(CW17:CW19,CW87:CW96)</f>
        <v>48.744604416491079</v>
      </c>
      <c r="CX38" s="46">
        <f>AVERAGE(CX17:CX19,CX87:CX96)</f>
        <v>1.9392817838373857</v>
      </c>
      <c r="CY38" s="46">
        <f>AVERAGE(CY17:CY19,CY87:CY96)</f>
        <v>710.56795391428636</v>
      </c>
      <c r="CZ38" s="46">
        <f>AVERAGE(CZ17:CZ19,CZ87:CZ96)</f>
        <v>639.41793622023761</v>
      </c>
      <c r="DA38" s="46"/>
    </row>
    <row r="39" spans="1:120">
      <c r="A39" s="34" t="s">
        <v>204</v>
      </c>
      <c r="D39" s="4">
        <f t="shared" ref="D39:AH39" si="104">_xlfn.STDEV.S(D17:D19,D87:D96)</f>
        <v>5.0922156529756535</v>
      </c>
      <c r="E39" s="10">
        <f t="shared" si="104"/>
        <v>0.1304577738934356</v>
      </c>
      <c r="F39" s="4">
        <f t="shared" si="104"/>
        <v>2.2179627982360341</v>
      </c>
      <c r="G39" s="4">
        <f t="shared" si="104"/>
        <v>0.99682958963367108</v>
      </c>
      <c r="H39" s="10">
        <f t="shared" si="104"/>
        <v>2.3403648630732087E-2</v>
      </c>
      <c r="I39" s="4">
        <f t="shared" si="104"/>
        <v>0.83475929280426497</v>
      </c>
      <c r="J39" s="4">
        <f t="shared" si="104"/>
        <v>1.761321255223633</v>
      </c>
      <c r="K39" s="10">
        <f t="shared" si="104"/>
        <v>0.59189612740836917</v>
      </c>
      <c r="L39" s="10">
        <f t="shared" si="104"/>
        <v>0.27953945641413036</v>
      </c>
      <c r="M39" s="10">
        <f t="shared" si="104"/>
        <v>2.4547181153119938E-2</v>
      </c>
      <c r="N39" s="36">
        <f t="shared" si="104"/>
        <v>5.7735026918962588E-3</v>
      </c>
      <c r="O39" s="12">
        <f t="shared" si="104"/>
        <v>1E-3</v>
      </c>
      <c r="P39" s="12">
        <f t="shared" si="104"/>
        <v>5.7735026918962588E-3</v>
      </c>
      <c r="Q39" s="12"/>
      <c r="R39" s="4">
        <f t="shared" si="104"/>
        <v>5.418136535872411</v>
      </c>
      <c r="S39" s="12">
        <f t="shared" si="104"/>
        <v>0.13244444050094989</v>
      </c>
      <c r="T39" s="10">
        <f t="shared" si="104"/>
        <v>2.1947086750672358</v>
      </c>
      <c r="U39" s="10">
        <f t="shared" si="104"/>
        <v>0.99292470397984101</v>
      </c>
      <c r="V39" s="10">
        <f t="shared" si="104"/>
        <v>2.3576017347422942E-2</v>
      </c>
      <c r="W39" s="10">
        <f t="shared" si="104"/>
        <v>0.83585118118881441</v>
      </c>
      <c r="X39" s="10">
        <f t="shared" si="104"/>
        <v>1.7688542410594488</v>
      </c>
      <c r="Y39" s="10">
        <f t="shared" si="104"/>
        <v>0.62541612238328792</v>
      </c>
      <c r="Z39" s="10">
        <f t="shared" si="104"/>
        <v>0.29361048048729654</v>
      </c>
      <c r="AA39" s="10">
        <f t="shared" si="104"/>
        <v>2.4604690810441213E-2</v>
      </c>
      <c r="AB39" s="10">
        <f t="shared" si="104"/>
        <v>1.5012322174827664E-2</v>
      </c>
      <c r="AC39" s="10">
        <f t="shared" si="104"/>
        <v>2.2463953114472885E-3</v>
      </c>
      <c r="AD39" s="10">
        <f t="shared" si="104"/>
        <v>1.6369259205204881E-2</v>
      </c>
      <c r="AE39" s="10"/>
      <c r="AF39" s="12">
        <f t="shared" si="104"/>
        <v>5.7735026918962493E-3</v>
      </c>
      <c r="AG39" s="12">
        <f t="shared" si="104"/>
        <v>7.0710678118654752E-2</v>
      </c>
      <c r="AH39" s="12">
        <f t="shared" si="104"/>
        <v>0.17507873686591446</v>
      </c>
      <c r="AI39" s="42"/>
      <c r="AJ39" s="11"/>
      <c r="AK39" s="11"/>
      <c r="AL39" s="11"/>
      <c r="AT39" s="11">
        <f>_xlfn.STDEV.S(AT17:AT19)</f>
        <v>18.448125469362285</v>
      </c>
      <c r="CI39" s="11">
        <f t="shared" ref="CI39:CU39" si="105">_xlfn.STDEV.S(CI17:CI19,CI87:CI96)</f>
        <v>5.3125623834790234</v>
      </c>
      <c r="CJ39" s="10">
        <f t="shared" si="105"/>
        <v>5.4428337475502235E-2</v>
      </c>
      <c r="CK39" s="10">
        <f t="shared" si="105"/>
        <v>4.7322769743242982E-2</v>
      </c>
      <c r="CL39" s="4">
        <f t="shared" si="105"/>
        <v>0.81062337519360239</v>
      </c>
      <c r="CM39" s="11">
        <f t="shared" si="105"/>
        <v>6.8882902235438292</v>
      </c>
      <c r="CN39" s="4">
        <f t="shared" si="105"/>
        <v>1.6107045121487875</v>
      </c>
      <c r="CO39" s="4">
        <f t="shared" si="105"/>
        <v>1.4522872317033755</v>
      </c>
      <c r="CP39" s="4">
        <f t="shared" si="105"/>
        <v>1.1139683721428324</v>
      </c>
      <c r="CQ39" s="4">
        <f t="shared" si="105"/>
        <v>1.6398167962599306</v>
      </c>
      <c r="CR39" s="4">
        <f t="shared" si="105"/>
        <v>0.1816051320313056</v>
      </c>
      <c r="CS39" s="10">
        <f t="shared" si="105"/>
        <v>0.26991499522813028</v>
      </c>
      <c r="CT39" s="4">
        <f t="shared" si="105"/>
        <v>0.80095923977920869</v>
      </c>
      <c r="CU39" s="11">
        <f t="shared" si="105"/>
        <v>37.123170551457157</v>
      </c>
      <c r="CV39" s="11"/>
      <c r="CW39" s="11">
        <f>_xlfn.STDEV.S(CW17:CW19,CW87:CW96)</f>
        <v>1.6332308291424964</v>
      </c>
      <c r="CX39" s="11">
        <f>_xlfn.STDEV.S(CX17:CX19,CX87:CX96)</f>
        <v>0.4149806125135741</v>
      </c>
      <c r="CY39" s="11">
        <f>_xlfn.STDEV.S(CY17:CY19,CY87:CY96)</f>
        <v>24.402165890440443</v>
      </c>
      <c r="CZ39" s="11">
        <f>_xlfn.STDEV.S(CZ17:CZ19,CZ87:CZ96)</f>
        <v>35.56661576198816</v>
      </c>
      <c r="DA39" s="11"/>
    </row>
    <row r="40" spans="1:120">
      <c r="A40" s="34" t="s">
        <v>205</v>
      </c>
      <c r="D40" s="4">
        <f t="shared" ref="D40:AH40" si="106">MIN(D17:D19,D87:D96)</f>
        <v>58.63</v>
      </c>
      <c r="E40" s="10">
        <f t="shared" si="106"/>
        <v>0.28999999999999998</v>
      </c>
      <c r="F40" s="4">
        <f t="shared" si="106"/>
        <v>10.130000000000001</v>
      </c>
      <c r="G40" s="4">
        <f t="shared" si="106"/>
        <v>3.12</v>
      </c>
      <c r="H40" s="10">
        <f t="shared" si="106"/>
        <v>1.7999999999999999E-2</v>
      </c>
      <c r="I40" s="4">
        <f t="shared" si="106"/>
        <v>1.25</v>
      </c>
      <c r="J40" s="4">
        <f t="shared" si="106"/>
        <v>1.82</v>
      </c>
      <c r="K40" s="10">
        <f t="shared" si="106"/>
        <v>3.08</v>
      </c>
      <c r="L40" s="10">
        <f t="shared" si="106"/>
        <v>0.88</v>
      </c>
      <c r="M40" s="10">
        <f t="shared" si="106"/>
        <v>0.09</v>
      </c>
      <c r="N40" s="36">
        <f t="shared" si="106"/>
        <v>0.03</v>
      </c>
      <c r="O40" s="12">
        <f t="shared" si="106"/>
        <v>4.0000000000000001E-3</v>
      </c>
      <c r="P40" s="12">
        <f t="shared" si="106"/>
        <v>0.03</v>
      </c>
      <c r="Q40" s="12"/>
      <c r="R40" s="4">
        <f t="shared" si="106"/>
        <v>59.438361719383614</v>
      </c>
      <c r="S40" s="12">
        <f t="shared" si="106"/>
        <v>0.29441624365482227</v>
      </c>
      <c r="T40" s="10">
        <f t="shared" si="106"/>
        <v>10.288442006906358</v>
      </c>
      <c r="U40" s="10">
        <f t="shared" si="106"/>
        <v>3.2082262210796917</v>
      </c>
      <c r="V40" s="10">
        <f t="shared" si="106"/>
        <v>1.8281535648994512E-2</v>
      </c>
      <c r="W40" s="10">
        <f t="shared" si="106"/>
        <v>1.2695510867357302</v>
      </c>
      <c r="X40" s="10">
        <f t="shared" si="106"/>
        <v>1.8484663822872232</v>
      </c>
      <c r="Y40" s="10">
        <f t="shared" si="106"/>
        <v>3.1281738777168391</v>
      </c>
      <c r="Z40" s="10">
        <f t="shared" si="106"/>
        <v>0.88353413654618473</v>
      </c>
      <c r="AA40" s="10">
        <f t="shared" si="106"/>
        <v>9.1407678244972576E-2</v>
      </c>
      <c r="AB40" s="10">
        <f t="shared" si="106"/>
        <v>0</v>
      </c>
      <c r="AC40" s="10">
        <f t="shared" si="106"/>
        <v>0</v>
      </c>
      <c r="AD40" s="10">
        <f t="shared" si="106"/>
        <v>0</v>
      </c>
      <c r="AE40" s="10"/>
      <c r="AF40" s="12">
        <f t="shared" si="106"/>
        <v>0.01</v>
      </c>
      <c r="AG40" s="12">
        <f t="shared" si="106"/>
        <v>0.01</v>
      </c>
      <c r="AH40" s="12">
        <f t="shared" si="106"/>
        <v>1.89</v>
      </c>
      <c r="AI40" s="42"/>
      <c r="AJ40" s="11"/>
      <c r="AK40" s="11"/>
      <c r="AL40" s="11"/>
      <c r="AT40" s="11">
        <f>MIN(AT17:AT19)</f>
        <v>23</v>
      </c>
      <c r="CI40" s="11">
        <f t="shared" ref="CI40:CU40" si="107">MIN(CI17:CI19,CI87:CI96)</f>
        <v>32.34578123812814</v>
      </c>
      <c r="CJ40" s="10">
        <f t="shared" si="107"/>
        <v>0.62689714969228238</v>
      </c>
      <c r="CK40" s="10">
        <f t="shared" si="107"/>
        <v>0.21111111111111111</v>
      </c>
      <c r="CL40" s="4">
        <f t="shared" si="107"/>
        <v>4.16</v>
      </c>
      <c r="CM40" s="11">
        <f t="shared" si="107"/>
        <v>20.418781725888326</v>
      </c>
      <c r="CN40" s="4">
        <f t="shared" si="107"/>
        <v>9.9331103678929757</v>
      </c>
      <c r="CO40" s="11">
        <f t="shared" si="107"/>
        <v>10.833333333333334</v>
      </c>
      <c r="CP40" s="4">
        <f t="shared" si="107"/>
        <v>6.5766526019690579</v>
      </c>
      <c r="CQ40" s="4">
        <f t="shared" si="107"/>
        <v>9.6811594202898554</v>
      </c>
      <c r="CR40" s="4">
        <f t="shared" si="107"/>
        <v>1.5604395604395602</v>
      </c>
      <c r="CS40" s="10">
        <f t="shared" si="107"/>
        <v>0.86648685361737987</v>
      </c>
      <c r="CT40" s="4">
        <f t="shared" si="107"/>
        <v>12.125</v>
      </c>
      <c r="CU40" s="11">
        <f t="shared" si="107"/>
        <v>823.42637562814423</v>
      </c>
      <c r="CV40" s="11"/>
      <c r="CW40" s="11">
        <f>MIN(CW17:CW19,CW87:CW96)</f>
        <v>46.658636731567384</v>
      </c>
      <c r="CX40" s="11">
        <f>MIN(CX17:CX19,CX87:CX96)</f>
        <v>1.4157008023593709</v>
      </c>
      <c r="CY40" s="11">
        <f>MIN(CY17:CY19,CY87:CY96)</f>
        <v>673.52604491656632</v>
      </c>
      <c r="CZ40" s="11">
        <f>MIN(CZ17:CZ19,CZ87:CZ96)</f>
        <v>579.95300171893962</v>
      </c>
      <c r="DA40" s="11"/>
    </row>
    <row r="41" spans="1:120">
      <c r="A41" s="34" t="s">
        <v>206</v>
      </c>
      <c r="D41" s="4">
        <f t="shared" ref="D41:AH41" si="108">MAX(D17:D19,D87:D96)</f>
        <v>77.540000000000006</v>
      </c>
      <c r="E41" s="10">
        <f t="shared" si="108"/>
        <v>0.68</v>
      </c>
      <c r="F41" s="4">
        <f t="shared" si="108"/>
        <v>18.399999999999999</v>
      </c>
      <c r="G41" s="4">
        <f t="shared" si="108"/>
        <v>5.93</v>
      </c>
      <c r="H41" s="10">
        <f t="shared" si="108"/>
        <v>0.09</v>
      </c>
      <c r="I41" s="4">
        <f t="shared" si="108"/>
        <v>3.35</v>
      </c>
      <c r="J41" s="4">
        <f t="shared" si="108"/>
        <v>6.82</v>
      </c>
      <c r="K41" s="10">
        <f t="shared" si="108"/>
        <v>5.01</v>
      </c>
      <c r="L41" s="10">
        <f t="shared" si="108"/>
        <v>1.78</v>
      </c>
      <c r="M41" s="10">
        <f t="shared" si="108"/>
        <v>0.16</v>
      </c>
      <c r="N41" s="36">
        <f t="shared" si="108"/>
        <v>0.04</v>
      </c>
      <c r="O41" s="12">
        <f t="shared" si="108"/>
        <v>6.0000000000000001E-3</v>
      </c>
      <c r="P41" s="12">
        <f t="shared" si="108"/>
        <v>0.04</v>
      </c>
      <c r="Q41" s="12"/>
      <c r="R41" s="4">
        <f t="shared" si="108"/>
        <v>78.752793012390825</v>
      </c>
      <c r="S41" s="12">
        <f t="shared" si="108"/>
        <v>0.69035532994923854</v>
      </c>
      <c r="T41" s="10">
        <f t="shared" si="108"/>
        <v>18.473895582329316</v>
      </c>
      <c r="U41" s="10">
        <f t="shared" si="108"/>
        <v>6.011759935117599</v>
      </c>
      <c r="V41" s="10">
        <f t="shared" si="108"/>
        <v>9.1194649913871717E-2</v>
      </c>
      <c r="W41" s="10">
        <f t="shared" si="108"/>
        <v>3.3634538152610443</v>
      </c>
      <c r="X41" s="10">
        <f t="shared" si="108"/>
        <v>6.9140308191403079</v>
      </c>
      <c r="Y41" s="10">
        <f t="shared" si="108"/>
        <v>5.1906340654786574</v>
      </c>
      <c r="Z41" s="10">
        <f t="shared" si="108"/>
        <v>1.8303341902313626</v>
      </c>
      <c r="AA41" s="10">
        <f t="shared" si="108"/>
        <v>0.16220600162206</v>
      </c>
      <c r="AB41" s="10">
        <f t="shared" si="108"/>
        <v>4.1021433699107782E-2</v>
      </c>
      <c r="AC41" s="10">
        <f t="shared" si="108"/>
        <v>6.024096385542169E-3</v>
      </c>
      <c r="AD41" s="10">
        <f t="shared" si="108"/>
        <v>4.0160642570281124E-2</v>
      </c>
      <c r="AE41" s="10"/>
      <c r="AF41" s="12">
        <f t="shared" si="108"/>
        <v>0.02</v>
      </c>
      <c r="AG41" s="12">
        <f t="shared" si="108"/>
        <v>0.11</v>
      </c>
      <c r="AH41" s="12">
        <f t="shared" si="108"/>
        <v>2.48</v>
      </c>
      <c r="AI41" s="42"/>
      <c r="AJ41" s="11"/>
      <c r="AK41" s="11"/>
      <c r="AL41" s="11"/>
      <c r="AT41" s="11">
        <f>MAX(AT17:AT19)</f>
        <v>59</v>
      </c>
      <c r="CI41" s="11">
        <f t="shared" ref="CI41:CU41" si="109">MAX(CI17:CI19,CI87:CI96)</f>
        <v>50.200461275904438</v>
      </c>
      <c r="CJ41" s="10">
        <f t="shared" si="109"/>
        <v>0.83399451458345386</v>
      </c>
      <c r="CK41" s="10">
        <f t="shared" si="109"/>
        <v>0.35599999999999998</v>
      </c>
      <c r="CL41" s="4">
        <f t="shared" si="109"/>
        <v>6.78</v>
      </c>
      <c r="CM41" s="11">
        <f t="shared" si="109"/>
        <v>44.93333333333333</v>
      </c>
      <c r="CN41" s="4">
        <f t="shared" si="109"/>
        <v>14.669479606188466</v>
      </c>
      <c r="CO41" s="11">
        <f t="shared" si="109"/>
        <v>15.263157894736841</v>
      </c>
      <c r="CP41" s="4">
        <f t="shared" si="109"/>
        <v>10.378574777308957</v>
      </c>
      <c r="CQ41" s="4">
        <f t="shared" si="109"/>
        <v>15.277777777777779</v>
      </c>
      <c r="CR41" s="4">
        <f t="shared" si="109"/>
        <v>2.1839506172839505</v>
      </c>
      <c r="CS41" s="10">
        <f t="shared" si="109"/>
        <v>1.934929138459736</v>
      </c>
      <c r="CT41" s="4">
        <f t="shared" si="109"/>
        <v>13.571428571428571</v>
      </c>
      <c r="CU41" s="11">
        <f t="shared" si="109"/>
        <v>964.83911100182115</v>
      </c>
      <c r="CV41" s="11"/>
      <c r="CW41" s="11">
        <f>MAX(CW17:CW19,CW87:CW96)</f>
        <v>51.227638314251735</v>
      </c>
      <c r="CX41" s="11">
        <f>MAX(CX17:CX19,CX87:CX96)</f>
        <v>2.8007524025017276</v>
      </c>
      <c r="CY41" s="11">
        <f>MAX(CY17:CY19,CY87:CY96)</f>
        <v>740.59260884484593</v>
      </c>
      <c r="CZ41" s="11">
        <f>MAX(CZ17:CZ19,CZ87:CZ96)</f>
        <v>682.94400737155468</v>
      </c>
      <c r="DA41" s="11"/>
    </row>
    <row r="42" spans="1:120">
      <c r="A42" s="34" t="s">
        <v>207</v>
      </c>
      <c r="D42" s="4"/>
      <c r="E42" s="10"/>
      <c r="F42" s="4"/>
      <c r="G42" s="4"/>
      <c r="H42" s="10"/>
      <c r="I42" s="4"/>
      <c r="J42" s="4"/>
      <c r="K42" s="10"/>
      <c r="L42" s="10"/>
      <c r="M42" s="10"/>
      <c r="N42" s="36"/>
      <c r="O42" s="12"/>
      <c r="R42" s="4"/>
      <c r="S42" s="10"/>
      <c r="T42" s="4"/>
      <c r="U42" s="4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I42" s="42"/>
      <c r="AJ42" s="11"/>
      <c r="AK42" s="11"/>
      <c r="AL42" s="11"/>
      <c r="AT42" s="11"/>
      <c r="CI42" s="46">
        <f t="shared" ref="CI42:CU42" si="110">COUNT(CI17:CI19,CI87:CI96)</f>
        <v>13</v>
      </c>
      <c r="CJ42" s="46">
        <f t="shared" si="110"/>
        <v>13</v>
      </c>
      <c r="CK42" s="46">
        <f t="shared" si="110"/>
        <v>13</v>
      </c>
      <c r="CL42" s="46">
        <f t="shared" si="110"/>
        <v>13</v>
      </c>
      <c r="CM42" s="46">
        <f t="shared" si="110"/>
        <v>13</v>
      </c>
      <c r="CN42" s="46">
        <f t="shared" si="110"/>
        <v>13</v>
      </c>
      <c r="CO42" s="46">
        <f t="shared" si="110"/>
        <v>13</v>
      </c>
      <c r="CP42" s="46">
        <f t="shared" si="110"/>
        <v>13</v>
      </c>
      <c r="CQ42" s="46">
        <f t="shared" si="110"/>
        <v>13</v>
      </c>
      <c r="CR42" s="46">
        <f t="shared" si="110"/>
        <v>13</v>
      </c>
      <c r="CS42" s="46">
        <f t="shared" si="110"/>
        <v>13</v>
      </c>
      <c r="CT42" s="46">
        <f t="shared" si="110"/>
        <v>3</v>
      </c>
      <c r="CU42" s="46">
        <f t="shared" si="110"/>
        <v>13</v>
      </c>
      <c r="CV42" s="46"/>
      <c r="CW42" s="46">
        <f>COUNT(CW17:CW19,CW87:CW96)</f>
        <v>13</v>
      </c>
      <c r="CX42" s="46">
        <f>COUNT(CX17:CX19,CX87:CX96)</f>
        <v>13</v>
      </c>
      <c r="CY42" s="46">
        <f>COUNT(CY17:CY19,CY87:CY96)</f>
        <v>13</v>
      </c>
      <c r="CZ42" s="46">
        <f>COUNT(CZ17:CZ19,CZ87:CZ96)</f>
        <v>13</v>
      </c>
      <c r="DA42" s="11"/>
    </row>
    <row r="43" spans="1:120">
      <c r="A43" s="3"/>
      <c r="R43" s="4"/>
      <c r="S43" s="10"/>
      <c r="T43" s="4"/>
      <c r="U43" s="4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I43" s="42"/>
      <c r="AJ43" s="11"/>
      <c r="AK43" s="11"/>
      <c r="AL43" s="11"/>
      <c r="CI43" s="11"/>
      <c r="CJ43" s="10"/>
      <c r="CK43" s="10"/>
      <c r="CL43" s="4"/>
      <c r="CM43" s="4"/>
      <c r="CN43" s="4"/>
      <c r="CO43" s="4"/>
      <c r="CP43" s="4"/>
      <c r="CQ43" s="4"/>
      <c r="CR43" s="4"/>
      <c r="CS43" s="10"/>
      <c r="CT43" s="4"/>
      <c r="CU43" s="37"/>
      <c r="CV43" s="37"/>
      <c r="CW43" s="4"/>
      <c r="CX43" s="4"/>
      <c r="CY43" s="11"/>
      <c r="CZ43" s="11"/>
    </row>
    <row r="44" spans="1:120" s="44" customFormat="1" ht="14">
      <c r="A44" s="34" t="s">
        <v>191</v>
      </c>
      <c r="R44" s="4"/>
      <c r="S44" s="10"/>
      <c r="T44" s="4"/>
      <c r="U44" s="4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I44" s="45"/>
      <c r="AJ44" s="46"/>
      <c r="AK44" s="46"/>
      <c r="AL44" s="46"/>
      <c r="CI44" s="46"/>
      <c r="CJ44" s="47"/>
      <c r="CK44" s="47"/>
      <c r="CL44" s="48"/>
      <c r="CM44" s="48"/>
      <c r="CN44" s="48"/>
      <c r="CO44" s="48"/>
      <c r="CP44" s="48"/>
      <c r="CQ44" s="48"/>
      <c r="CR44" s="48"/>
      <c r="CS44" s="47"/>
      <c r="CT44" s="48"/>
      <c r="CU44" s="49"/>
      <c r="CV44" s="49"/>
      <c r="CW44" s="48"/>
      <c r="CX44" s="48"/>
      <c r="CY44" s="46"/>
      <c r="CZ44" s="46"/>
    </row>
    <row r="45" spans="1:120" s="44" customFormat="1" ht="14">
      <c r="A45" s="34" t="s">
        <v>192</v>
      </c>
      <c r="R45" s="4"/>
      <c r="S45" s="10"/>
      <c r="T45" s="4"/>
      <c r="U45" s="4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I45" s="45"/>
      <c r="AJ45" s="46"/>
      <c r="AK45" s="46"/>
      <c r="AL45" s="46"/>
      <c r="CI45" s="46"/>
      <c r="CJ45" s="47"/>
      <c r="CK45" s="47"/>
      <c r="CL45" s="48"/>
      <c r="CM45" s="48"/>
      <c r="CN45" s="48"/>
      <c r="CO45" s="48"/>
      <c r="CP45" s="48"/>
      <c r="CQ45" s="48"/>
      <c r="CR45" s="48"/>
      <c r="CS45" s="47"/>
      <c r="CT45" s="48"/>
      <c r="CU45" s="49"/>
      <c r="CV45" s="49"/>
      <c r="CW45" s="48"/>
      <c r="CX45" s="48"/>
      <c r="CY45" s="46"/>
      <c r="CZ45" s="46"/>
    </row>
    <row r="46" spans="1:120" s="3" customFormat="1" ht="14" customHeight="1">
      <c r="A46" s="314" t="s">
        <v>129</v>
      </c>
      <c r="B46" s="3" t="s">
        <v>92</v>
      </c>
      <c r="C46" s="3" t="s">
        <v>56</v>
      </c>
      <c r="D46" s="315">
        <v>51.44</v>
      </c>
      <c r="E46" s="316">
        <v>0.441</v>
      </c>
      <c r="F46" s="315">
        <v>14.22</v>
      </c>
      <c r="G46" s="315">
        <v>10.656000000000001</v>
      </c>
      <c r="H46" s="316">
        <v>0.153</v>
      </c>
      <c r="I46" s="315">
        <v>9.27</v>
      </c>
      <c r="J46" s="315">
        <v>9.08</v>
      </c>
      <c r="K46" s="316">
        <v>1.79</v>
      </c>
      <c r="L46" s="316">
        <v>0.44</v>
      </c>
      <c r="M46" s="316">
        <v>0.06</v>
      </c>
      <c r="N46" s="317"/>
      <c r="O46" s="317"/>
      <c r="P46" s="317"/>
      <c r="Q46" s="317"/>
      <c r="R46" s="4">
        <f t="shared" ref="R46:R90" si="111">100*D46/(AI46-AH46)</f>
        <v>52.721123296095108</v>
      </c>
      <c r="S46" s="10">
        <f t="shared" ref="S46:S90" si="112">100*E46/(AI$3-AH$3)</f>
        <v>0.44771573604060916</v>
      </c>
      <c r="T46" s="4">
        <f t="shared" ref="T46:T90" si="113">100*F46/(AI46-AH46)</f>
        <v>14.574151890950086</v>
      </c>
      <c r="U46" s="4">
        <f t="shared" ref="U46:U90" si="114">100*G46/(AI46-AH46)</f>
        <v>10.921389771446142</v>
      </c>
      <c r="V46" s="10">
        <f t="shared" ref="V46:V90" si="115">100*H46/(AI46-AH46)</f>
        <v>0.15681049502920977</v>
      </c>
      <c r="W46" s="10">
        <f t="shared" ref="W46:W90" si="116">100*I46/(AI46-AH46)</f>
        <v>9.5008711694168291</v>
      </c>
      <c r="X46" s="10">
        <f t="shared" ref="X46:X90" si="117">100*J46/(AI46-AH46)</f>
        <v>9.3061391821256532</v>
      </c>
      <c r="Y46" s="10">
        <f t="shared" ref="Y46:Y90" si="118">100*K46/(AI46-AH46)</f>
        <v>1.8345803013221276</v>
      </c>
      <c r="Z46" s="10">
        <f t="shared" ref="Z46:Z90" si="119">100*L46/(AI46-AH46)</f>
        <v>0.45095828635851182</v>
      </c>
      <c r="AA46" s="10">
        <f t="shared" ref="AA46:AA90" si="120">100*M46/(AI46-AH46)</f>
        <v>6.1494311776160701E-2</v>
      </c>
      <c r="AB46" s="10">
        <f t="shared" ref="AB46:AB90" si="121">100*N46/(AI46-AH46)</f>
        <v>0</v>
      </c>
      <c r="AC46" s="10">
        <f t="shared" ref="AC46:AC90" si="122">100*O46/(AI46-AH46)</f>
        <v>0</v>
      </c>
      <c r="AD46" s="10">
        <f t="shared" ref="AD46:AD90" si="123">100*P46/(AI46-AH46)</f>
        <v>0</v>
      </c>
      <c r="AE46" s="10"/>
      <c r="AF46" s="317"/>
      <c r="AG46" s="317"/>
      <c r="AH46" s="316">
        <v>2.2400000000000002</v>
      </c>
      <c r="AI46" s="315">
        <v>99.81</v>
      </c>
      <c r="AJ46" s="11">
        <f t="shared" ref="AJ46:AJ77" si="124">L46*39.1*2/(39.1*2+16)*10000</f>
        <v>3652.6539278131636</v>
      </c>
      <c r="AK46" s="11">
        <f t="shared" ref="AK46:AK77" si="125">E46*47.867/(47.867+32)*10000</f>
        <v>2643.0624663503077</v>
      </c>
      <c r="AL46" s="11">
        <f t="shared" ref="AL46:AL66" si="126">M46*2*30.97/(2*30.97+16*5)*10000</f>
        <v>261.82894180639704</v>
      </c>
      <c r="AM46" s="317">
        <v>101</v>
      </c>
      <c r="AN46" s="317">
        <v>13</v>
      </c>
      <c r="AO46" s="317">
        <v>29</v>
      </c>
      <c r="AP46" s="317">
        <v>216</v>
      </c>
      <c r="AQ46" s="317">
        <v>152</v>
      </c>
      <c r="AR46" s="317">
        <v>50.2</v>
      </c>
      <c r="AS46" s="317">
        <v>189</v>
      </c>
      <c r="AT46" s="318">
        <v>63.9</v>
      </c>
      <c r="AU46" s="318">
        <v>89.9</v>
      </c>
      <c r="AV46" s="317">
        <v>18</v>
      </c>
      <c r="AW46" s="317">
        <v>16</v>
      </c>
      <c r="AX46" s="317">
        <v>158</v>
      </c>
      <c r="AY46" s="317">
        <v>12</v>
      </c>
      <c r="AZ46" s="317">
        <v>0.3</v>
      </c>
      <c r="BA46" s="315">
        <v>4.96</v>
      </c>
      <c r="BB46" s="315">
        <v>11.2</v>
      </c>
      <c r="BC46" s="315">
        <v>1.52</v>
      </c>
      <c r="BD46" s="315">
        <v>7.03</v>
      </c>
      <c r="BE46" s="315">
        <v>1.82</v>
      </c>
      <c r="BF46" s="315">
        <v>0.69299999999999995</v>
      </c>
      <c r="BG46" s="315">
        <v>2.2400000000000002</v>
      </c>
      <c r="BH46" s="315">
        <v>0.37</v>
      </c>
      <c r="BI46" s="315">
        <v>2.35</v>
      </c>
      <c r="BJ46" s="315">
        <v>0.47</v>
      </c>
      <c r="BK46" s="315">
        <v>1.36</v>
      </c>
      <c r="BL46" s="316">
        <v>0.21299999999999999</v>
      </c>
      <c r="BM46" s="316">
        <v>1.38</v>
      </c>
      <c r="BN46" s="316">
        <v>0.192</v>
      </c>
      <c r="BO46" s="317">
        <v>4</v>
      </c>
      <c r="BP46" s="317">
        <v>0.51</v>
      </c>
      <c r="BQ46" s="317">
        <v>0.16</v>
      </c>
      <c r="BR46" s="317">
        <v>0.8</v>
      </c>
      <c r="BS46" s="317">
        <v>0.1</v>
      </c>
      <c r="BT46" s="317">
        <v>28</v>
      </c>
      <c r="BU46" s="317">
        <v>0.8</v>
      </c>
      <c r="BV46" s="317">
        <v>1.6</v>
      </c>
      <c r="BW46" s="317" t="s">
        <v>130</v>
      </c>
      <c r="BX46" s="317" t="s">
        <v>132</v>
      </c>
      <c r="BY46" s="317" t="s">
        <v>130</v>
      </c>
      <c r="BZ46" s="317" t="s">
        <v>133</v>
      </c>
      <c r="CA46" s="317" t="s">
        <v>134</v>
      </c>
      <c r="CB46" s="317">
        <v>7</v>
      </c>
      <c r="CC46" s="317" t="s">
        <v>131</v>
      </c>
      <c r="CD46" s="317"/>
      <c r="CE46" s="317" t="s">
        <v>134</v>
      </c>
      <c r="CF46" s="317">
        <v>0.2</v>
      </c>
      <c r="CG46" s="317" t="s">
        <v>134</v>
      </c>
      <c r="CH46" s="317" t="s">
        <v>135</v>
      </c>
      <c r="CI46" s="11">
        <f t="shared" ref="CI46:CI76" si="127">100*(I46/40.31)/(G46/0.89981/71.85+I46/40.31)</f>
        <v>58.250608249920944</v>
      </c>
      <c r="CJ46" s="10">
        <f t="shared" ref="CJ46:CJ76" si="128">(F46/133.96)/(J46/56.08+K46/61.98+L46/94.2)</f>
        <v>0.54307579772043979</v>
      </c>
      <c r="CK46" s="10">
        <f t="shared" ref="CK46:CK76" si="129">L46/K46</f>
        <v>0.24581005586592178</v>
      </c>
      <c r="CL46" s="4">
        <f t="shared" ref="CL46:CL76" si="130">K46+L46</f>
        <v>2.23</v>
      </c>
      <c r="CM46" s="4">
        <f t="shared" ref="CM46:CM76" si="131">AX46/AY46</f>
        <v>13.166666666666666</v>
      </c>
      <c r="CN46" s="4">
        <f t="shared" ref="CN46:CN76" si="132">BT46/AY46</f>
        <v>2.3333333333333335</v>
      </c>
      <c r="CO46" s="4">
        <f t="shared" ref="CO46:CO76" si="133">BR46/BS46</f>
        <v>8</v>
      </c>
      <c r="CP46" s="4">
        <f t="shared" ref="CP46:CP76" si="134">(BA46/0.237)/(BM46/0.161)</f>
        <v>2.4416315049226442</v>
      </c>
      <c r="CQ46" s="4">
        <f t="shared" ref="CQ46:CQ76" si="135">BA46/BM46</f>
        <v>3.5942028985507251</v>
      </c>
      <c r="CR46" s="4">
        <f t="shared" ref="CR46:CR76" si="136">BI46/BM46</f>
        <v>1.7028985507246379</v>
      </c>
      <c r="CS46" s="10">
        <f t="shared" ref="CS46:CS76" si="137">(BF46/0.0563)/(((BE46/0.148)*(BG46/0.199))^(1/2))</f>
        <v>1.0462188305916786</v>
      </c>
      <c r="CT46" s="4">
        <f t="shared" ref="CT46:CT76" si="138">AP46/AO46</f>
        <v>7.4482758620689653</v>
      </c>
      <c r="CU46" s="40">
        <f t="shared" ref="CU46:CU66" si="139">(26400*D46/100-4800)/(12.4*D46/100-LN(M46/100)-3.97)-273.15</f>
        <v>620.31027363306214</v>
      </c>
      <c r="CV46" s="40"/>
      <c r="CW46" s="4">
        <f t="shared" ref="CW46:CW66" si="140">D46*28.086/(28.086+15.999*2)+F46*26.982*2/(26.982*2+15.999*3)+G46*55.845*2/(55.845*2+15.999*3)+J46*40.078/(40.078+15.999)+I46*32.99*2/(22.99*2+15.999)+L46*39.098*2/(39.098*2+15.999)+O46*51.996*2/(51.996*2+15.999*3)+E46*47.867/(47.867+15.999*2)+H46*54.938/(54.938+15.999)+M46*30.974*2/(30.974*2+15.999*5)+P46*87.62/(87.62+15.999)+N46*137.328/(137.328+15.999)</f>
        <v>56.15674124777523</v>
      </c>
      <c r="CX46" s="4">
        <f t="shared" ref="CX46:CX66" si="141">(K46*22.99*2/(22.99*2+15.999)+L46*39.098*2/(39.098*2+15.999)+2*J46*40.078/(40.078+15.999))/((F46*2*26.982/(26.982*2+15.999*3))*(D46*28.086/(28.086+15.999*2)))*CW46</f>
        <v>4.5529399567890581</v>
      </c>
      <c r="CY46" s="11">
        <f t="shared" ref="CY46:CY76" si="142">12900/(3.8+0.85*(CX46-1)+LN(496000/BT46))-273.15</f>
        <v>503.85893639245126</v>
      </c>
      <c r="CZ46" s="11">
        <f t="shared" ref="CZ46:CZ76" si="143">10108/(1.48+1.16*(CX46-1)+LN(496000/BT46))-273.15</f>
        <v>383.91605510582463</v>
      </c>
      <c r="DA46" s="4"/>
      <c r="DB46" s="10"/>
      <c r="DC46" s="10"/>
      <c r="DD46" s="4"/>
      <c r="DE46" s="31"/>
      <c r="DF46" s="31"/>
      <c r="DG46" s="32"/>
      <c r="DH46" s="32"/>
      <c r="DI46" s="11"/>
      <c r="DJ46" s="11"/>
      <c r="DK46" s="317"/>
      <c r="DL46" s="317"/>
      <c r="DM46" s="317"/>
      <c r="DN46" s="317"/>
      <c r="DO46" s="317"/>
      <c r="DP46" s="317"/>
    </row>
    <row r="47" spans="1:120" s="3" customFormat="1" ht="14" customHeight="1">
      <c r="A47" s="314" t="s">
        <v>136</v>
      </c>
      <c r="B47" s="3" t="s">
        <v>92</v>
      </c>
      <c r="C47" s="3" t="s">
        <v>56</v>
      </c>
      <c r="D47" s="315">
        <v>49.39</v>
      </c>
      <c r="E47" s="316">
        <v>1.2569999999999999</v>
      </c>
      <c r="F47" s="315">
        <v>14.46</v>
      </c>
      <c r="G47" s="315">
        <v>12.4</v>
      </c>
      <c r="H47" s="316">
        <v>0.14299999999999999</v>
      </c>
      <c r="I47" s="315">
        <v>6.07</v>
      </c>
      <c r="J47" s="315">
        <v>10.050000000000001</v>
      </c>
      <c r="K47" s="316">
        <v>2.82</v>
      </c>
      <c r="L47" s="316">
        <v>0.93</v>
      </c>
      <c r="M47" s="316">
        <v>0.13</v>
      </c>
      <c r="N47" s="317"/>
      <c r="O47" s="317"/>
      <c r="P47" s="317"/>
      <c r="Q47" s="317"/>
      <c r="R47" s="4">
        <f t="shared" si="111"/>
        <v>50.588958311994269</v>
      </c>
      <c r="S47" s="10">
        <f t="shared" si="112"/>
        <v>1.2761421319796953</v>
      </c>
      <c r="T47" s="4">
        <f t="shared" si="113"/>
        <v>14.811021202499232</v>
      </c>
      <c r="U47" s="4">
        <f t="shared" si="114"/>
        <v>12.701014032571956</v>
      </c>
      <c r="V47" s="10">
        <f t="shared" si="115"/>
        <v>0.14647137150466044</v>
      </c>
      <c r="W47" s="10">
        <f t="shared" si="116"/>
        <v>6.2173512240090139</v>
      </c>
      <c r="X47" s="10">
        <f t="shared" si="117"/>
        <v>10.293967018334531</v>
      </c>
      <c r="Y47" s="10">
        <f t="shared" si="118"/>
        <v>2.8884564170849125</v>
      </c>
      <c r="Z47" s="10">
        <f t="shared" si="119"/>
        <v>0.95257605244289667</v>
      </c>
      <c r="AA47" s="10">
        <f t="shared" si="120"/>
        <v>0.13315579227696406</v>
      </c>
      <c r="AB47" s="10">
        <f t="shared" si="121"/>
        <v>0</v>
      </c>
      <c r="AC47" s="10">
        <f t="shared" si="122"/>
        <v>0</v>
      </c>
      <c r="AD47" s="10">
        <f t="shared" si="123"/>
        <v>0</v>
      </c>
      <c r="AE47" s="10"/>
      <c r="AF47" s="317"/>
      <c r="AG47" s="317"/>
      <c r="AH47" s="316">
        <v>2.4700000000000002</v>
      </c>
      <c r="AI47" s="315">
        <v>100.1</v>
      </c>
      <c r="AJ47" s="11">
        <f t="shared" si="124"/>
        <v>7720.3821656050968</v>
      </c>
      <c r="AK47" s="11">
        <f t="shared" si="125"/>
        <v>7533.6270299372709</v>
      </c>
      <c r="AL47" s="11">
        <f t="shared" si="126"/>
        <v>567.29604058052689</v>
      </c>
      <c r="AM47" s="317">
        <v>87</v>
      </c>
      <c r="AN47" s="317">
        <v>11</v>
      </c>
      <c r="AO47" s="317">
        <v>34</v>
      </c>
      <c r="AP47" s="317">
        <v>281</v>
      </c>
      <c r="AQ47" s="317">
        <v>44</v>
      </c>
      <c r="AR47" s="317">
        <v>23.8</v>
      </c>
      <c r="AS47" s="317">
        <v>52</v>
      </c>
      <c r="AT47" s="318">
        <v>61.9</v>
      </c>
      <c r="AU47" s="318">
        <v>69.900000000000006</v>
      </c>
      <c r="AV47" s="317">
        <v>20</v>
      </c>
      <c r="AW47" s="317">
        <v>44</v>
      </c>
      <c r="AX47" s="317">
        <v>185</v>
      </c>
      <c r="AY47" s="317">
        <v>39.299999999999997</v>
      </c>
      <c r="AZ47" s="317">
        <v>1.4</v>
      </c>
      <c r="BA47" s="315">
        <v>14.5</v>
      </c>
      <c r="BB47" s="315">
        <v>56.4</v>
      </c>
      <c r="BC47" s="315">
        <v>9</v>
      </c>
      <c r="BD47" s="315">
        <v>39.299999999999997</v>
      </c>
      <c r="BE47" s="315">
        <v>8.56</v>
      </c>
      <c r="BF47" s="315">
        <v>1.53</v>
      </c>
      <c r="BG47" s="315">
        <v>8.09</v>
      </c>
      <c r="BH47" s="315">
        <v>1.28</v>
      </c>
      <c r="BI47" s="315">
        <v>7.36</v>
      </c>
      <c r="BJ47" s="315">
        <v>1.46</v>
      </c>
      <c r="BK47" s="315">
        <v>4.4800000000000004</v>
      </c>
      <c r="BL47" s="316">
        <v>0.70199999999999996</v>
      </c>
      <c r="BM47" s="316">
        <v>4.66</v>
      </c>
      <c r="BN47" s="316">
        <v>0.65400000000000003</v>
      </c>
      <c r="BO47" s="317" t="s">
        <v>137</v>
      </c>
      <c r="BP47" s="317">
        <v>0.92</v>
      </c>
      <c r="BQ47" s="317">
        <v>0.96</v>
      </c>
      <c r="BR47" s="317">
        <v>4.4000000000000004</v>
      </c>
      <c r="BS47" s="317">
        <v>0.2</v>
      </c>
      <c r="BT47" s="317"/>
      <c r="BU47" s="317">
        <v>1.5</v>
      </c>
      <c r="BV47" s="317">
        <v>2.9</v>
      </c>
      <c r="BW47" s="317">
        <v>12</v>
      </c>
      <c r="BX47" s="317" t="s">
        <v>132</v>
      </c>
      <c r="BY47" s="317" t="s">
        <v>130</v>
      </c>
      <c r="BZ47" s="317">
        <v>1.6</v>
      </c>
      <c r="CA47" s="317">
        <v>0.06</v>
      </c>
      <c r="CB47" s="317">
        <v>8</v>
      </c>
      <c r="CC47" s="317">
        <v>0.2</v>
      </c>
      <c r="CD47" s="317"/>
      <c r="CE47" s="317">
        <v>0.05</v>
      </c>
      <c r="CF47" s="317">
        <v>0.3</v>
      </c>
      <c r="CG47" s="317" t="s">
        <v>134</v>
      </c>
      <c r="CH47" s="317">
        <v>0.06</v>
      </c>
      <c r="CI47" s="11">
        <f t="shared" si="127"/>
        <v>43.981116172514682</v>
      </c>
      <c r="CJ47" s="10">
        <f t="shared" si="128"/>
        <v>0.4601540209435363</v>
      </c>
      <c r="CK47" s="10">
        <f t="shared" si="129"/>
        <v>0.32978723404255322</v>
      </c>
      <c r="CL47" s="4">
        <f t="shared" si="130"/>
        <v>3.75</v>
      </c>
      <c r="CM47" s="4">
        <f t="shared" si="131"/>
        <v>4.7073791348600516</v>
      </c>
      <c r="CN47" s="4"/>
      <c r="CO47" s="4">
        <f t="shared" si="133"/>
        <v>22</v>
      </c>
      <c r="CP47" s="4">
        <f t="shared" si="134"/>
        <v>2.1137791782111881</v>
      </c>
      <c r="CQ47" s="4">
        <f t="shared" si="135"/>
        <v>3.1115879828326181</v>
      </c>
      <c r="CR47" s="4">
        <f t="shared" si="136"/>
        <v>1.5793991416309012</v>
      </c>
      <c r="CS47" s="10">
        <f t="shared" si="137"/>
        <v>0.56044021205376993</v>
      </c>
      <c r="CT47" s="4">
        <f t="shared" si="138"/>
        <v>8.264705882352942</v>
      </c>
      <c r="CU47" s="40">
        <f t="shared" si="139"/>
        <v>663.12194524144411</v>
      </c>
      <c r="CV47" s="40"/>
      <c r="CW47" s="4">
        <f t="shared" si="140"/>
        <v>54.750637246606473</v>
      </c>
      <c r="CX47" s="4">
        <f t="shared" si="141"/>
        <v>5.338915140917603</v>
      </c>
      <c r="CY47" s="11"/>
      <c r="CZ47" s="11"/>
      <c r="DA47" s="4"/>
      <c r="DB47" s="10"/>
      <c r="DC47" s="10"/>
      <c r="DD47" s="4"/>
      <c r="DE47" s="31"/>
      <c r="DF47" s="31"/>
      <c r="DG47" s="32"/>
      <c r="DH47" s="32"/>
      <c r="DI47" s="11"/>
      <c r="DJ47" s="11"/>
      <c r="DK47" s="317"/>
      <c r="DL47" s="317"/>
      <c r="DM47" s="317"/>
      <c r="DN47" s="317"/>
      <c r="DO47" s="317"/>
      <c r="DP47" s="317"/>
    </row>
    <row r="48" spans="1:120" s="3" customFormat="1" ht="14" customHeight="1">
      <c r="A48" s="314" t="s">
        <v>138</v>
      </c>
      <c r="B48" s="3" t="s">
        <v>92</v>
      </c>
      <c r="C48" s="3" t="s">
        <v>56</v>
      </c>
      <c r="D48" s="315">
        <v>49.17</v>
      </c>
      <c r="E48" s="316">
        <v>1.5449999999999999</v>
      </c>
      <c r="F48" s="315">
        <v>14.29</v>
      </c>
      <c r="G48" s="315">
        <v>13.510000000000002</v>
      </c>
      <c r="H48" s="316">
        <v>0.157</v>
      </c>
      <c r="I48" s="315">
        <v>5.97</v>
      </c>
      <c r="J48" s="315">
        <v>9.59</v>
      </c>
      <c r="K48" s="316">
        <v>3.1</v>
      </c>
      <c r="L48" s="316">
        <v>1.07</v>
      </c>
      <c r="M48" s="316">
        <v>0.1</v>
      </c>
      <c r="N48" s="317"/>
      <c r="O48" s="317"/>
      <c r="P48" s="317"/>
      <c r="Q48" s="317"/>
      <c r="R48" s="4">
        <f t="shared" si="111"/>
        <v>49.903582665178121</v>
      </c>
      <c r="S48" s="10">
        <f t="shared" si="112"/>
        <v>1.5685279187817258</v>
      </c>
      <c r="T48" s="4">
        <f t="shared" si="113"/>
        <v>14.503196995838831</v>
      </c>
      <c r="U48" s="4">
        <f t="shared" si="114"/>
        <v>13.711559930985489</v>
      </c>
      <c r="V48" s="10">
        <f t="shared" si="115"/>
        <v>0.15934233228458336</v>
      </c>
      <c r="W48" s="10">
        <f t="shared" si="116"/>
        <v>6.0590683040698261</v>
      </c>
      <c r="X48" s="10">
        <f t="shared" si="117"/>
        <v>9.7330762204404753</v>
      </c>
      <c r="Y48" s="10">
        <f t="shared" si="118"/>
        <v>3.1462498731350856</v>
      </c>
      <c r="Z48" s="10">
        <f t="shared" si="119"/>
        <v>1.0859636658885619</v>
      </c>
      <c r="AA48" s="10">
        <f t="shared" si="120"/>
        <v>0.10149193139145438</v>
      </c>
      <c r="AB48" s="10">
        <f t="shared" si="121"/>
        <v>0</v>
      </c>
      <c r="AC48" s="10">
        <f t="shared" si="122"/>
        <v>0</v>
      </c>
      <c r="AD48" s="10">
        <f t="shared" si="123"/>
        <v>0</v>
      </c>
      <c r="AE48" s="10"/>
      <c r="AF48" s="317"/>
      <c r="AG48" s="317"/>
      <c r="AH48" s="316">
        <v>1.44</v>
      </c>
      <c r="AI48" s="315">
        <v>99.97</v>
      </c>
      <c r="AJ48" s="11">
        <f t="shared" si="124"/>
        <v>8882.5902335456467</v>
      </c>
      <c r="AK48" s="11">
        <f t="shared" si="125"/>
        <v>9259.7086406150211</v>
      </c>
      <c r="AL48" s="11">
        <f t="shared" si="126"/>
        <v>436.3815696773284</v>
      </c>
      <c r="AM48" s="317">
        <v>220</v>
      </c>
      <c r="AN48" s="317">
        <v>12</v>
      </c>
      <c r="AO48" s="317">
        <v>41</v>
      </c>
      <c r="AP48" s="317">
        <v>447</v>
      </c>
      <c r="AQ48" s="317">
        <v>40</v>
      </c>
      <c r="AR48" s="317">
        <v>23</v>
      </c>
      <c r="AS48" s="317">
        <v>51</v>
      </c>
      <c r="AT48" s="318">
        <v>52.6</v>
      </c>
      <c r="AU48" s="318">
        <v>72.2</v>
      </c>
      <c r="AV48" s="317">
        <v>21</v>
      </c>
      <c r="AW48" s="317">
        <v>38</v>
      </c>
      <c r="AX48" s="317">
        <v>225</v>
      </c>
      <c r="AY48" s="317">
        <v>41.1</v>
      </c>
      <c r="AZ48" s="317">
        <v>1.1000000000000001</v>
      </c>
      <c r="BA48" s="315">
        <v>15.2</v>
      </c>
      <c r="BB48" s="315">
        <v>58</v>
      </c>
      <c r="BC48" s="315">
        <v>9.61</v>
      </c>
      <c r="BD48" s="315">
        <v>42.6</v>
      </c>
      <c r="BE48" s="315">
        <v>9.42</v>
      </c>
      <c r="BF48" s="315">
        <v>1.45</v>
      </c>
      <c r="BG48" s="315">
        <v>8.59</v>
      </c>
      <c r="BH48" s="315">
        <v>1.36</v>
      </c>
      <c r="BI48" s="315">
        <v>7.77</v>
      </c>
      <c r="BJ48" s="315">
        <v>1.57</v>
      </c>
      <c r="BK48" s="315">
        <v>4.79</v>
      </c>
      <c r="BL48" s="316">
        <v>0.75900000000000001</v>
      </c>
      <c r="BM48" s="316">
        <v>4.9400000000000004</v>
      </c>
      <c r="BN48" s="316">
        <v>0.73499999999999999</v>
      </c>
      <c r="BO48" s="317">
        <v>4</v>
      </c>
      <c r="BP48" s="317">
        <v>0.9</v>
      </c>
      <c r="BQ48" s="317">
        <v>1</v>
      </c>
      <c r="BR48" s="317">
        <v>4.4000000000000004</v>
      </c>
      <c r="BS48" s="317">
        <v>0.16</v>
      </c>
      <c r="BT48" s="317"/>
      <c r="BU48" s="317">
        <v>1.5</v>
      </c>
      <c r="BV48" s="317">
        <v>3.1</v>
      </c>
      <c r="BW48" s="317">
        <v>13</v>
      </c>
      <c r="BX48" s="317" t="s">
        <v>132</v>
      </c>
      <c r="BY48" s="317" t="s">
        <v>130</v>
      </c>
      <c r="BZ48" s="317">
        <v>1.2</v>
      </c>
      <c r="CA48" s="317">
        <v>0.28999999999999998</v>
      </c>
      <c r="CB48" s="317">
        <v>9</v>
      </c>
      <c r="CC48" s="317">
        <v>0.3</v>
      </c>
      <c r="CD48" s="317"/>
      <c r="CE48" s="317">
        <v>0.06</v>
      </c>
      <c r="CF48" s="317">
        <v>0.2</v>
      </c>
      <c r="CG48" s="317">
        <v>0.09</v>
      </c>
      <c r="CH48" s="317">
        <v>7.0000000000000007E-2</v>
      </c>
      <c r="CI48" s="11">
        <f t="shared" si="127"/>
        <v>41.477168565605261</v>
      </c>
      <c r="CJ48" s="10">
        <f t="shared" si="128"/>
        <v>0.45904697001547867</v>
      </c>
      <c r="CK48" s="10">
        <f t="shared" si="129"/>
        <v>0.34516129032258064</v>
      </c>
      <c r="CL48" s="4">
        <f t="shared" si="130"/>
        <v>4.17</v>
      </c>
      <c r="CM48" s="4">
        <f t="shared" si="131"/>
        <v>5.4744525547445253</v>
      </c>
      <c r="CN48" s="4"/>
      <c r="CO48" s="4">
        <f t="shared" si="133"/>
        <v>27.5</v>
      </c>
      <c r="CP48" s="4">
        <f t="shared" si="134"/>
        <v>2.0902304446608242</v>
      </c>
      <c r="CQ48" s="4">
        <f t="shared" si="135"/>
        <v>3.0769230769230766</v>
      </c>
      <c r="CR48" s="4">
        <f t="shared" si="136"/>
        <v>1.5728744939271253</v>
      </c>
      <c r="CS48" s="10">
        <f t="shared" si="137"/>
        <v>0.49135453636688425</v>
      </c>
      <c r="CT48" s="4">
        <f t="shared" si="138"/>
        <v>10.902439024390244</v>
      </c>
      <c r="CU48" s="40">
        <f t="shared" si="139"/>
        <v>632.33192052059803</v>
      </c>
      <c r="CV48" s="40"/>
      <c r="CW48" s="4">
        <f t="shared" si="140"/>
        <v>55.185560572048203</v>
      </c>
      <c r="CX48" s="4">
        <f t="shared" si="141"/>
        <v>5.3638103538731619</v>
      </c>
      <c r="CY48" s="11"/>
      <c r="CZ48" s="11"/>
      <c r="DA48" s="10"/>
      <c r="DB48" s="10"/>
      <c r="DC48" s="10"/>
      <c r="DD48" s="4"/>
      <c r="DE48" s="31"/>
      <c r="DF48" s="31"/>
      <c r="DG48" s="32"/>
      <c r="DH48" s="32"/>
      <c r="DI48" s="11"/>
      <c r="DJ48" s="11"/>
      <c r="DK48" s="317"/>
      <c r="DL48" s="317"/>
      <c r="DM48" s="317"/>
      <c r="DN48" s="317"/>
      <c r="DO48" s="317"/>
      <c r="DP48" s="317"/>
    </row>
    <row r="49" spans="1:120" s="3" customFormat="1" ht="14" customHeight="1">
      <c r="A49" s="314" t="s">
        <v>139</v>
      </c>
      <c r="B49" s="3" t="s">
        <v>92</v>
      </c>
      <c r="C49" s="3" t="s">
        <v>56</v>
      </c>
      <c r="D49" s="315">
        <v>49.34</v>
      </c>
      <c r="E49" s="316">
        <v>1.026</v>
      </c>
      <c r="F49" s="315">
        <v>18.25</v>
      </c>
      <c r="G49" s="315">
        <v>11.072000000000001</v>
      </c>
      <c r="H49" s="316">
        <v>0.109</v>
      </c>
      <c r="I49" s="315">
        <v>4.8600000000000003</v>
      </c>
      <c r="J49" s="315">
        <v>8.18</v>
      </c>
      <c r="K49" s="316">
        <v>3.61</v>
      </c>
      <c r="L49" s="316">
        <v>2.06</v>
      </c>
      <c r="M49" s="316">
        <v>0.12</v>
      </c>
      <c r="N49" s="317"/>
      <c r="O49" s="317"/>
      <c r="P49" s="317"/>
      <c r="Q49" s="317"/>
      <c r="R49" s="4">
        <f t="shared" si="111"/>
        <v>50.020275750202757</v>
      </c>
      <c r="S49" s="10">
        <f t="shared" si="112"/>
        <v>1.0416243654822337</v>
      </c>
      <c r="T49" s="4">
        <f t="shared" si="113"/>
        <v>18.501622060016221</v>
      </c>
      <c r="U49" s="4">
        <f t="shared" si="114"/>
        <v>11.224655312246554</v>
      </c>
      <c r="V49" s="10">
        <f t="shared" si="115"/>
        <v>0.11050283860502839</v>
      </c>
      <c r="W49" s="10">
        <f t="shared" si="116"/>
        <v>4.9270072992700733</v>
      </c>
      <c r="X49" s="10">
        <f t="shared" si="117"/>
        <v>8.2927818329278189</v>
      </c>
      <c r="Y49" s="10">
        <f t="shared" si="118"/>
        <v>3.6597729115977291</v>
      </c>
      <c r="Z49" s="10">
        <f t="shared" si="119"/>
        <v>2.0884022708840226</v>
      </c>
      <c r="AA49" s="10">
        <f t="shared" si="120"/>
        <v>0.12165450121654502</v>
      </c>
      <c r="AB49" s="10">
        <f t="shared" si="121"/>
        <v>0</v>
      </c>
      <c r="AC49" s="10">
        <f t="shared" si="122"/>
        <v>0</v>
      </c>
      <c r="AD49" s="10">
        <f t="shared" si="123"/>
        <v>0</v>
      </c>
      <c r="AE49" s="10"/>
      <c r="AF49" s="317"/>
      <c r="AG49" s="317"/>
      <c r="AH49" s="316">
        <v>1.86</v>
      </c>
      <c r="AI49" s="315">
        <v>100.5</v>
      </c>
      <c r="AJ49" s="11">
        <f t="shared" si="124"/>
        <v>17101.061571125265</v>
      </c>
      <c r="AK49" s="11">
        <f t="shared" si="125"/>
        <v>6149.1657380394918</v>
      </c>
      <c r="AL49" s="11">
        <f t="shared" si="126"/>
        <v>523.65788361279408</v>
      </c>
      <c r="AM49" s="317">
        <v>380</v>
      </c>
      <c r="AN49" s="317">
        <v>26</v>
      </c>
      <c r="AO49" s="317">
        <v>28</v>
      </c>
      <c r="AP49" s="317">
        <v>237</v>
      </c>
      <c r="AQ49" s="317">
        <v>57</v>
      </c>
      <c r="AR49" s="317">
        <v>21.3</v>
      </c>
      <c r="AS49" s="317">
        <v>50</v>
      </c>
      <c r="AT49" s="318">
        <v>29.6</v>
      </c>
      <c r="AU49" s="318">
        <v>52.3</v>
      </c>
      <c r="AV49" s="317">
        <v>20</v>
      </c>
      <c r="AW49" s="317">
        <v>104</v>
      </c>
      <c r="AX49" s="317">
        <v>406</v>
      </c>
      <c r="AY49" s="317">
        <v>22.6</v>
      </c>
      <c r="AZ49" s="317">
        <v>3.5</v>
      </c>
      <c r="BA49" s="315">
        <v>9.2799999999999994</v>
      </c>
      <c r="BB49" s="315">
        <v>31.6</v>
      </c>
      <c r="BC49" s="315">
        <v>5.15</v>
      </c>
      <c r="BD49" s="315">
        <v>23.5</v>
      </c>
      <c r="BE49" s="315">
        <v>5.41</v>
      </c>
      <c r="BF49" s="315">
        <v>1.05</v>
      </c>
      <c r="BG49" s="315">
        <v>5</v>
      </c>
      <c r="BH49" s="315">
        <v>0.79</v>
      </c>
      <c r="BI49" s="315">
        <v>4.4400000000000004</v>
      </c>
      <c r="BJ49" s="315">
        <v>0.88</v>
      </c>
      <c r="BK49" s="315">
        <v>2.64</v>
      </c>
      <c r="BL49" s="316">
        <v>0.39800000000000002</v>
      </c>
      <c r="BM49" s="316">
        <v>2.5099999999999998</v>
      </c>
      <c r="BN49" s="316">
        <v>0.35699999999999998</v>
      </c>
      <c r="BO49" s="317">
        <v>2</v>
      </c>
      <c r="BP49" s="317">
        <v>0.51</v>
      </c>
      <c r="BQ49" s="317">
        <v>0.18</v>
      </c>
      <c r="BR49" s="317">
        <v>2.7</v>
      </c>
      <c r="BS49" s="317">
        <v>0.19</v>
      </c>
      <c r="BT49" s="317"/>
      <c r="BU49" s="317">
        <v>0.9</v>
      </c>
      <c r="BV49" s="317">
        <v>2</v>
      </c>
      <c r="BW49" s="317">
        <v>8</v>
      </c>
      <c r="BX49" s="317" t="s">
        <v>132</v>
      </c>
      <c r="BY49" s="317" t="s">
        <v>130</v>
      </c>
      <c r="BZ49" s="317">
        <v>1.1000000000000001</v>
      </c>
      <c r="CA49" s="317">
        <v>7.0000000000000007E-2</v>
      </c>
      <c r="CB49" s="317">
        <v>6</v>
      </c>
      <c r="CC49" s="317" t="s">
        <v>131</v>
      </c>
      <c r="CD49" s="317"/>
      <c r="CE49" s="317">
        <v>0.08</v>
      </c>
      <c r="CF49" s="317">
        <v>0.2</v>
      </c>
      <c r="CG49" s="317" t="s">
        <v>134</v>
      </c>
      <c r="CH49" s="317">
        <v>0.3</v>
      </c>
      <c r="CI49" s="11">
        <f t="shared" si="127"/>
        <v>41.314683661177504</v>
      </c>
      <c r="CJ49" s="10">
        <f t="shared" si="128"/>
        <v>0.60287238065731363</v>
      </c>
      <c r="CK49" s="10">
        <f t="shared" si="129"/>
        <v>0.5706371191135734</v>
      </c>
      <c r="CL49" s="4">
        <f t="shared" si="130"/>
        <v>5.67</v>
      </c>
      <c r="CM49" s="4">
        <f t="shared" si="131"/>
        <v>17.964601769911503</v>
      </c>
      <c r="CN49" s="4"/>
      <c r="CO49" s="4">
        <f t="shared" si="133"/>
        <v>14.210526315789474</v>
      </c>
      <c r="CP49" s="4">
        <f t="shared" si="134"/>
        <v>2.5116075781263136</v>
      </c>
      <c r="CQ49" s="4">
        <f t="shared" si="135"/>
        <v>3.6972111553784863</v>
      </c>
      <c r="CR49" s="4">
        <f t="shared" si="136"/>
        <v>1.7689243027888448</v>
      </c>
      <c r="CS49" s="10">
        <f t="shared" si="137"/>
        <v>0.61539599481508533</v>
      </c>
      <c r="CT49" s="4">
        <f t="shared" si="138"/>
        <v>8.4642857142857135</v>
      </c>
      <c r="CU49" s="40">
        <f t="shared" si="139"/>
        <v>653.84308279482173</v>
      </c>
      <c r="CV49" s="40"/>
      <c r="CW49" s="4">
        <f t="shared" si="140"/>
        <v>53.948653226539626</v>
      </c>
      <c r="CX49" s="4">
        <f t="shared" si="141"/>
        <v>3.8942287238440252</v>
      </c>
      <c r="CY49" s="11"/>
      <c r="CZ49" s="11"/>
      <c r="DA49" s="10"/>
      <c r="DB49" s="10"/>
      <c r="DC49" s="10"/>
      <c r="DD49" s="4"/>
      <c r="DE49" s="31"/>
      <c r="DF49" s="31"/>
      <c r="DG49" s="32"/>
      <c r="DH49" s="32"/>
      <c r="DI49" s="11"/>
      <c r="DJ49" s="11"/>
      <c r="DK49" s="317"/>
      <c r="DL49" s="317"/>
      <c r="DM49" s="317"/>
      <c r="DN49" s="317"/>
      <c r="DO49" s="317"/>
      <c r="DP49" s="317"/>
    </row>
    <row r="50" spans="1:120" s="3" customFormat="1" ht="14" customHeight="1">
      <c r="A50" s="314" t="s">
        <v>140</v>
      </c>
      <c r="B50" s="3" t="s">
        <v>92</v>
      </c>
      <c r="C50" s="3" t="s">
        <v>56</v>
      </c>
      <c r="D50" s="315">
        <v>63.06</v>
      </c>
      <c r="E50" s="316">
        <v>1.8260000000000001</v>
      </c>
      <c r="F50" s="315">
        <v>19.16</v>
      </c>
      <c r="G50" s="315">
        <v>1.522</v>
      </c>
      <c r="H50" s="316">
        <v>0.03</v>
      </c>
      <c r="I50" s="315">
        <v>0.51</v>
      </c>
      <c r="J50" s="315">
        <v>3.91</v>
      </c>
      <c r="K50" s="316">
        <v>7.04</v>
      </c>
      <c r="L50" s="316">
        <v>1.66</v>
      </c>
      <c r="M50" s="316">
        <v>0.03</v>
      </c>
      <c r="N50" s="317"/>
      <c r="O50" s="317"/>
      <c r="P50" s="317"/>
      <c r="Q50" s="317"/>
      <c r="R50" s="4">
        <f t="shared" si="111"/>
        <v>63.877633711507293</v>
      </c>
      <c r="S50" s="10">
        <f t="shared" si="112"/>
        <v>1.8538071065989847</v>
      </c>
      <c r="T50" s="4">
        <f t="shared" si="113"/>
        <v>19.408427876823339</v>
      </c>
      <c r="U50" s="4">
        <f t="shared" si="114"/>
        <v>1.5417341977309562</v>
      </c>
      <c r="V50" s="10">
        <f t="shared" si="115"/>
        <v>3.0388978930307942E-2</v>
      </c>
      <c r="W50" s="10">
        <f t="shared" si="116"/>
        <v>0.51661264181523503</v>
      </c>
      <c r="X50" s="10">
        <f t="shared" si="117"/>
        <v>3.9606969205834686</v>
      </c>
      <c r="Y50" s="10">
        <f t="shared" si="118"/>
        <v>7.1312803889789302</v>
      </c>
      <c r="Z50" s="10">
        <f t="shared" si="119"/>
        <v>1.6815235008103728</v>
      </c>
      <c r="AA50" s="10">
        <f t="shared" si="120"/>
        <v>3.0388978930307942E-2</v>
      </c>
      <c r="AB50" s="10">
        <f t="shared" si="121"/>
        <v>0</v>
      </c>
      <c r="AC50" s="10">
        <f t="shared" si="122"/>
        <v>0</v>
      </c>
      <c r="AD50" s="10">
        <f t="shared" si="123"/>
        <v>0</v>
      </c>
      <c r="AE50" s="10"/>
      <c r="AF50" s="317"/>
      <c r="AG50" s="317"/>
      <c r="AH50" s="316">
        <v>2.08</v>
      </c>
      <c r="AI50" s="315">
        <v>100.8</v>
      </c>
      <c r="AJ50" s="11">
        <f t="shared" si="124"/>
        <v>13780.467091295117</v>
      </c>
      <c r="AK50" s="11">
        <f t="shared" si="125"/>
        <v>10943.836878811024</v>
      </c>
      <c r="AL50" s="11">
        <f t="shared" si="126"/>
        <v>130.91447090319852</v>
      </c>
      <c r="AM50" s="317">
        <v>635</v>
      </c>
      <c r="AN50" s="317">
        <v>7</v>
      </c>
      <c r="AO50" s="317">
        <v>12</v>
      </c>
      <c r="AP50" s="317">
        <v>57</v>
      </c>
      <c r="AQ50" s="317">
        <v>40</v>
      </c>
      <c r="AR50" s="317">
        <v>4.4000000000000004</v>
      </c>
      <c r="AS50" s="317">
        <v>9</v>
      </c>
      <c r="AT50" s="318">
        <v>40.1</v>
      </c>
      <c r="AU50" s="318">
        <v>38.1</v>
      </c>
      <c r="AV50" s="317">
        <v>21</v>
      </c>
      <c r="AW50" s="317">
        <v>60</v>
      </c>
      <c r="AX50" s="317">
        <v>245</v>
      </c>
      <c r="AY50" s="317">
        <v>169</v>
      </c>
      <c r="AZ50" s="317">
        <v>0.4</v>
      </c>
      <c r="BA50" s="315">
        <v>12.1</v>
      </c>
      <c r="BB50" s="315">
        <v>61.5</v>
      </c>
      <c r="BC50" s="315">
        <v>12.5</v>
      </c>
      <c r="BD50" s="315">
        <v>66</v>
      </c>
      <c r="BE50" s="315">
        <v>21.8</v>
      </c>
      <c r="BF50" s="315">
        <v>1.97</v>
      </c>
      <c r="BG50" s="315">
        <v>25.6</v>
      </c>
      <c r="BH50" s="315">
        <v>4.7699999999999996</v>
      </c>
      <c r="BI50" s="315">
        <v>29.7</v>
      </c>
      <c r="BJ50" s="315">
        <v>5.92</v>
      </c>
      <c r="BK50" s="315">
        <v>17.899999999999999</v>
      </c>
      <c r="BL50" s="316">
        <v>2.82</v>
      </c>
      <c r="BM50" s="316">
        <v>17.100000000000001</v>
      </c>
      <c r="BN50" s="316">
        <v>2.2599999999999998</v>
      </c>
      <c r="BO50" s="317">
        <v>15</v>
      </c>
      <c r="BP50" s="317">
        <v>34.200000000000003</v>
      </c>
      <c r="BQ50" s="317">
        <v>7.46</v>
      </c>
      <c r="BR50" s="317">
        <v>46</v>
      </c>
      <c r="BS50" s="317">
        <v>0.93</v>
      </c>
      <c r="BT50" s="317"/>
      <c r="BU50" s="317">
        <v>2.1</v>
      </c>
      <c r="BV50" s="317">
        <v>2.1</v>
      </c>
      <c r="BW50" s="317">
        <v>14</v>
      </c>
      <c r="BX50" s="317">
        <v>3.4</v>
      </c>
      <c r="BY50" s="317" t="s">
        <v>130</v>
      </c>
      <c r="BZ50" s="317">
        <v>2.5</v>
      </c>
      <c r="CA50" s="317">
        <v>0.11</v>
      </c>
      <c r="CB50" s="317" t="s">
        <v>141</v>
      </c>
      <c r="CC50" s="317" t="s">
        <v>131</v>
      </c>
      <c r="CD50" s="317"/>
      <c r="CE50" s="317">
        <v>0.04</v>
      </c>
      <c r="CF50" s="317">
        <v>1.6</v>
      </c>
      <c r="CG50" s="317" t="s">
        <v>134</v>
      </c>
      <c r="CH50" s="317">
        <v>0.09</v>
      </c>
      <c r="CI50" s="11">
        <f t="shared" si="127"/>
        <v>34.956304897088565</v>
      </c>
      <c r="CJ50" s="10">
        <f t="shared" si="128"/>
        <v>0.71183261955309352</v>
      </c>
      <c r="CK50" s="10">
        <f t="shared" si="129"/>
        <v>0.23579545454545453</v>
      </c>
      <c r="CL50" s="4">
        <f t="shared" si="130"/>
        <v>8.6999999999999993</v>
      </c>
      <c r="CM50" s="4">
        <f t="shared" si="131"/>
        <v>1.4497041420118344</v>
      </c>
      <c r="CN50" s="4"/>
      <c r="CO50" s="4">
        <f t="shared" si="133"/>
        <v>49.462365591397848</v>
      </c>
      <c r="CP50" s="4">
        <f t="shared" si="134"/>
        <v>0.48069188442273059</v>
      </c>
      <c r="CQ50" s="4">
        <f t="shared" si="135"/>
        <v>0.70760233918128645</v>
      </c>
      <c r="CR50" s="4">
        <f t="shared" si="136"/>
        <v>1.7368421052631577</v>
      </c>
      <c r="CS50" s="10">
        <f t="shared" si="137"/>
        <v>0.25419499648703575</v>
      </c>
      <c r="CT50" s="4">
        <f t="shared" si="138"/>
        <v>4.75</v>
      </c>
      <c r="CU50" s="40">
        <f t="shared" si="139"/>
        <v>717.37533310135302</v>
      </c>
      <c r="CV50" s="40"/>
      <c r="CW50" s="4">
        <f t="shared" si="140"/>
        <v>46.528466627135487</v>
      </c>
      <c r="CX50" s="4">
        <f t="shared" si="141"/>
        <v>1.8974091986410277</v>
      </c>
      <c r="CY50" s="11"/>
      <c r="CZ50" s="11"/>
      <c r="DA50" s="4"/>
      <c r="DB50" s="10"/>
      <c r="DC50" s="10"/>
      <c r="DD50" s="4"/>
      <c r="DE50" s="31"/>
      <c r="DF50" s="31"/>
      <c r="DG50" s="32"/>
      <c r="DH50" s="32"/>
      <c r="DI50" s="11"/>
      <c r="DJ50" s="11"/>
      <c r="DK50" s="317"/>
      <c r="DL50" s="317"/>
      <c r="DM50" s="317"/>
      <c r="DN50" s="317"/>
      <c r="DO50" s="317"/>
      <c r="DP50" s="317"/>
    </row>
    <row r="51" spans="1:120" s="3" customFormat="1" ht="14" customHeight="1">
      <c r="A51" s="314" t="s">
        <v>142</v>
      </c>
      <c r="B51" s="3" t="s">
        <v>92</v>
      </c>
      <c r="C51" s="3" t="s">
        <v>56</v>
      </c>
      <c r="D51" s="315">
        <v>49.72</v>
      </c>
      <c r="E51" s="316">
        <v>2.004</v>
      </c>
      <c r="F51" s="315">
        <v>15.47</v>
      </c>
      <c r="G51" s="315">
        <v>11.713000000000001</v>
      </c>
      <c r="H51" s="316">
        <v>0.126</v>
      </c>
      <c r="I51" s="315">
        <v>5.15</v>
      </c>
      <c r="J51" s="315">
        <v>9.57</v>
      </c>
      <c r="K51" s="316">
        <v>3.05</v>
      </c>
      <c r="L51" s="316">
        <v>0.8</v>
      </c>
      <c r="M51" s="316">
        <v>0.11</v>
      </c>
      <c r="N51" s="317"/>
      <c r="O51" s="317"/>
      <c r="P51" s="317"/>
      <c r="Q51" s="317"/>
      <c r="R51" s="4">
        <f t="shared" si="111"/>
        <v>50.869654184571317</v>
      </c>
      <c r="S51" s="10">
        <f t="shared" si="112"/>
        <v>2.0345177664974621</v>
      </c>
      <c r="T51" s="4">
        <f t="shared" si="113"/>
        <v>15.827706159197874</v>
      </c>
      <c r="U51" s="4">
        <f t="shared" si="114"/>
        <v>11.983834663392678</v>
      </c>
      <c r="V51" s="10">
        <f t="shared" si="115"/>
        <v>0.12891344383057091</v>
      </c>
      <c r="W51" s="10">
        <f t="shared" si="116"/>
        <v>5.2690812359320649</v>
      </c>
      <c r="X51" s="10">
        <f t="shared" si="117"/>
        <v>9.7912829957028862</v>
      </c>
      <c r="Y51" s="10">
        <f t="shared" si="118"/>
        <v>3.1205238387558829</v>
      </c>
      <c r="Z51" s="10">
        <f t="shared" si="119"/>
        <v>0.8184980560671169</v>
      </c>
      <c r="AA51" s="10">
        <f t="shared" si="120"/>
        <v>0.11254348270922857</v>
      </c>
      <c r="AB51" s="10">
        <f t="shared" si="121"/>
        <v>0</v>
      </c>
      <c r="AC51" s="10">
        <f t="shared" si="122"/>
        <v>0</v>
      </c>
      <c r="AD51" s="10">
        <f t="shared" si="123"/>
        <v>0</v>
      </c>
      <c r="AE51" s="10"/>
      <c r="AF51" s="317"/>
      <c r="AG51" s="317"/>
      <c r="AH51" s="316">
        <v>1.95</v>
      </c>
      <c r="AI51" s="315">
        <v>99.69</v>
      </c>
      <c r="AJ51" s="11">
        <f t="shared" si="124"/>
        <v>6641.1889596602969</v>
      </c>
      <c r="AK51" s="11">
        <f t="shared" si="125"/>
        <v>12010.651207632691</v>
      </c>
      <c r="AL51" s="11">
        <f t="shared" si="126"/>
        <v>480.01972664506127</v>
      </c>
      <c r="AM51" s="317">
        <v>63</v>
      </c>
      <c r="AN51" s="317">
        <v>14</v>
      </c>
      <c r="AO51" s="317">
        <v>38</v>
      </c>
      <c r="AP51" s="317">
        <v>510</v>
      </c>
      <c r="AQ51" s="317">
        <v>33</v>
      </c>
      <c r="AR51" s="317">
        <v>20.6</v>
      </c>
      <c r="AS51" s="317">
        <v>58</v>
      </c>
      <c r="AT51" s="318">
        <v>103</v>
      </c>
      <c r="AU51" s="318">
        <v>55.3</v>
      </c>
      <c r="AV51" s="317">
        <v>25</v>
      </c>
      <c r="AW51" s="317">
        <v>59</v>
      </c>
      <c r="AX51" s="317">
        <v>174</v>
      </c>
      <c r="AY51" s="317">
        <v>52</v>
      </c>
      <c r="AZ51" s="317">
        <v>1.7</v>
      </c>
      <c r="BA51" s="315">
        <v>18</v>
      </c>
      <c r="BB51" s="315">
        <v>71.599999999999994</v>
      </c>
      <c r="BC51" s="315">
        <v>11.8</v>
      </c>
      <c r="BD51" s="315">
        <v>51.6</v>
      </c>
      <c r="BE51" s="315">
        <v>11.8</v>
      </c>
      <c r="BF51" s="315">
        <v>2.0099999999999998</v>
      </c>
      <c r="BG51" s="315">
        <v>10.8</v>
      </c>
      <c r="BH51" s="315">
        <v>1.74</v>
      </c>
      <c r="BI51" s="315">
        <v>9.7899999999999991</v>
      </c>
      <c r="BJ51" s="315">
        <v>1.96</v>
      </c>
      <c r="BK51" s="315">
        <v>6.15</v>
      </c>
      <c r="BL51" s="316">
        <v>0.95099999999999996</v>
      </c>
      <c r="BM51" s="316">
        <v>6.36</v>
      </c>
      <c r="BN51" s="316">
        <v>0.96399999999999997</v>
      </c>
      <c r="BO51" s="317" t="s">
        <v>137</v>
      </c>
      <c r="BP51" s="317">
        <v>1.18</v>
      </c>
      <c r="BQ51" s="317">
        <v>1.94</v>
      </c>
      <c r="BR51" s="317">
        <v>6.1</v>
      </c>
      <c r="BS51" s="317">
        <v>0.19</v>
      </c>
      <c r="BT51" s="317"/>
      <c r="BU51" s="317">
        <v>1.8</v>
      </c>
      <c r="BV51" s="317">
        <v>4.4000000000000004</v>
      </c>
      <c r="BW51" s="317">
        <v>16</v>
      </c>
      <c r="BX51" s="317">
        <v>3.5</v>
      </c>
      <c r="BY51" s="317" t="s">
        <v>130</v>
      </c>
      <c r="BZ51" s="317">
        <v>1.1000000000000001</v>
      </c>
      <c r="CA51" s="317">
        <v>0.08</v>
      </c>
      <c r="CB51" s="317">
        <v>9</v>
      </c>
      <c r="CC51" s="317">
        <v>0.2</v>
      </c>
      <c r="CD51" s="317"/>
      <c r="CE51" s="317">
        <v>0.05</v>
      </c>
      <c r="CF51" s="317">
        <v>0.6</v>
      </c>
      <c r="CG51" s="317" t="s">
        <v>134</v>
      </c>
      <c r="CH51" s="317">
        <v>0.11</v>
      </c>
      <c r="CI51" s="11">
        <f t="shared" si="127"/>
        <v>41.355382022218834</v>
      </c>
      <c r="CJ51" s="10">
        <f t="shared" si="128"/>
        <v>0.50572233561764757</v>
      </c>
      <c r="CK51" s="10">
        <f t="shared" si="129"/>
        <v>0.26229508196721313</v>
      </c>
      <c r="CL51" s="4">
        <f t="shared" si="130"/>
        <v>3.8499999999999996</v>
      </c>
      <c r="CM51" s="4">
        <f t="shared" si="131"/>
        <v>3.3461538461538463</v>
      </c>
      <c r="CN51" s="4"/>
      <c r="CO51" s="4">
        <f t="shared" si="133"/>
        <v>32.105263157894733</v>
      </c>
      <c r="CP51" s="4">
        <f t="shared" si="134"/>
        <v>1.9226176259851924</v>
      </c>
      <c r="CQ51" s="4">
        <f t="shared" si="135"/>
        <v>2.8301886792452828</v>
      </c>
      <c r="CR51" s="4">
        <f t="shared" si="136"/>
        <v>1.5393081761006286</v>
      </c>
      <c r="CS51" s="10">
        <f t="shared" si="137"/>
        <v>0.54274043335163291</v>
      </c>
      <c r="CT51" s="4">
        <f t="shared" si="138"/>
        <v>13.421052631578947</v>
      </c>
      <c r="CU51" s="40">
        <f t="shared" si="139"/>
        <v>651.17660947434672</v>
      </c>
      <c r="CV51" s="40"/>
      <c r="CW51" s="4">
        <f t="shared" si="140"/>
        <v>53.954395020376822</v>
      </c>
      <c r="CX51" s="4">
        <f t="shared" si="141"/>
        <v>4.7083803959109733</v>
      </c>
      <c r="CY51" s="11"/>
      <c r="CZ51" s="11"/>
      <c r="DA51" s="10"/>
      <c r="DB51" s="10"/>
      <c r="DC51" s="10"/>
      <c r="DD51" s="4"/>
      <c r="DE51" s="31"/>
      <c r="DF51" s="31"/>
      <c r="DG51" s="32"/>
      <c r="DH51" s="32"/>
      <c r="DI51" s="11"/>
      <c r="DJ51" s="11"/>
      <c r="DK51" s="317"/>
      <c r="DL51" s="317"/>
      <c r="DM51" s="317"/>
      <c r="DN51" s="317"/>
      <c r="DO51" s="317"/>
      <c r="DP51" s="317"/>
    </row>
    <row r="52" spans="1:120" s="3" customFormat="1" ht="14" customHeight="1">
      <c r="A52" s="314" t="s">
        <v>143</v>
      </c>
      <c r="B52" s="3" t="s">
        <v>92</v>
      </c>
      <c r="C52" s="3" t="s">
        <v>56</v>
      </c>
      <c r="D52" s="315">
        <v>58.85</v>
      </c>
      <c r="E52" s="316">
        <v>0.94099999999999995</v>
      </c>
      <c r="F52" s="315">
        <v>15.57</v>
      </c>
      <c r="G52" s="315">
        <v>8.0730000000000004</v>
      </c>
      <c r="H52" s="316">
        <v>0.113</v>
      </c>
      <c r="I52" s="315">
        <v>4.05</v>
      </c>
      <c r="J52" s="315">
        <v>6.88</v>
      </c>
      <c r="K52" s="316">
        <v>2.96</v>
      </c>
      <c r="L52" s="316">
        <v>1.33</v>
      </c>
      <c r="M52" s="316">
        <v>0.09</v>
      </c>
      <c r="N52" s="317"/>
      <c r="O52" s="317"/>
      <c r="P52" s="317"/>
      <c r="Q52" s="317"/>
      <c r="R52" s="4">
        <f t="shared" si="111"/>
        <v>59.504550050556112</v>
      </c>
      <c r="S52" s="10">
        <f t="shared" si="112"/>
        <v>0.95532994923857861</v>
      </c>
      <c r="T52" s="4">
        <f t="shared" si="113"/>
        <v>15.743174924165823</v>
      </c>
      <c r="U52" s="4">
        <f t="shared" si="114"/>
        <v>8.1627906976744189</v>
      </c>
      <c r="V52" s="10">
        <f t="shared" si="115"/>
        <v>0.11425682507583418</v>
      </c>
      <c r="W52" s="10">
        <f t="shared" si="116"/>
        <v>4.0950455005055613</v>
      </c>
      <c r="X52" s="10">
        <f t="shared" si="117"/>
        <v>6.9565217391304346</v>
      </c>
      <c r="Y52" s="10">
        <f t="shared" si="118"/>
        <v>2.9929221435793729</v>
      </c>
      <c r="Z52" s="10">
        <f t="shared" si="119"/>
        <v>1.3447927199191101</v>
      </c>
      <c r="AA52" s="10">
        <f t="shared" si="120"/>
        <v>9.1001011122345793E-2</v>
      </c>
      <c r="AB52" s="10">
        <f t="shared" si="121"/>
        <v>0</v>
      </c>
      <c r="AC52" s="10">
        <f t="shared" si="122"/>
        <v>0</v>
      </c>
      <c r="AD52" s="10">
        <f t="shared" si="123"/>
        <v>0</v>
      </c>
      <c r="AE52" s="10"/>
      <c r="AF52" s="317"/>
      <c r="AG52" s="317"/>
      <c r="AH52" s="316">
        <v>1.3</v>
      </c>
      <c r="AI52" s="315">
        <v>100.2</v>
      </c>
      <c r="AJ52" s="11">
        <f t="shared" si="124"/>
        <v>11040.976645435245</v>
      </c>
      <c r="AK52" s="11">
        <f t="shared" si="125"/>
        <v>5639.7319293325154</v>
      </c>
      <c r="AL52" s="11">
        <f t="shared" si="126"/>
        <v>392.74341270959559</v>
      </c>
      <c r="AM52" s="317">
        <v>233</v>
      </c>
      <c r="AN52" s="317">
        <v>18</v>
      </c>
      <c r="AO52" s="317">
        <v>18</v>
      </c>
      <c r="AP52" s="317">
        <v>152</v>
      </c>
      <c r="AQ52" s="317">
        <v>56</v>
      </c>
      <c r="AR52" s="317">
        <v>29.5</v>
      </c>
      <c r="AS52" s="317">
        <v>90</v>
      </c>
      <c r="AT52" s="318">
        <v>65.5</v>
      </c>
      <c r="AU52" s="318">
        <v>76.2</v>
      </c>
      <c r="AV52" s="317">
        <v>19</v>
      </c>
      <c r="AW52" s="317">
        <v>57</v>
      </c>
      <c r="AX52" s="317">
        <v>201</v>
      </c>
      <c r="AY52" s="317">
        <v>19.3</v>
      </c>
      <c r="AZ52" s="317">
        <v>1.1000000000000001</v>
      </c>
      <c r="BA52" s="315">
        <v>15.6</v>
      </c>
      <c r="BB52" s="315">
        <v>30.1</v>
      </c>
      <c r="BC52" s="315">
        <v>3.68</v>
      </c>
      <c r="BD52" s="315">
        <v>14.8</v>
      </c>
      <c r="BE52" s="315">
        <v>3.62</v>
      </c>
      <c r="BF52" s="315">
        <v>0.93</v>
      </c>
      <c r="BG52" s="315">
        <v>3.58</v>
      </c>
      <c r="BH52" s="315">
        <v>0.57999999999999996</v>
      </c>
      <c r="BI52" s="315">
        <v>3.51</v>
      </c>
      <c r="BJ52" s="315">
        <v>0.73</v>
      </c>
      <c r="BK52" s="315">
        <v>2.0699999999999998</v>
      </c>
      <c r="BL52" s="316">
        <v>0.307</v>
      </c>
      <c r="BM52" s="316">
        <v>1.96</v>
      </c>
      <c r="BN52" s="316">
        <v>0.29699999999999999</v>
      </c>
      <c r="BO52" s="317">
        <v>3</v>
      </c>
      <c r="BP52" s="317">
        <v>6.72</v>
      </c>
      <c r="BQ52" s="317">
        <v>1.62</v>
      </c>
      <c r="BR52" s="317">
        <v>5.6</v>
      </c>
      <c r="BS52" s="317">
        <v>0.42</v>
      </c>
      <c r="BT52" s="317">
        <v>98</v>
      </c>
      <c r="BU52" s="317">
        <v>3</v>
      </c>
      <c r="BV52" s="317">
        <v>2.1</v>
      </c>
      <c r="BW52" s="317">
        <v>2</v>
      </c>
      <c r="BX52" s="317" t="s">
        <v>132</v>
      </c>
      <c r="BY52" s="317" t="s">
        <v>130</v>
      </c>
      <c r="BZ52" s="317"/>
      <c r="CA52" s="317"/>
      <c r="CB52" s="317"/>
      <c r="CC52" s="317" t="s">
        <v>131</v>
      </c>
      <c r="CD52" s="317"/>
      <c r="CE52" s="317"/>
      <c r="CF52" s="317"/>
      <c r="CG52" s="317"/>
      <c r="CH52" s="317">
        <v>0.12</v>
      </c>
      <c r="CI52" s="11">
        <f t="shared" si="127"/>
        <v>44.586332753853732</v>
      </c>
      <c r="CJ52" s="10">
        <f t="shared" si="128"/>
        <v>0.62976760355860129</v>
      </c>
      <c r="CK52" s="10">
        <f t="shared" si="129"/>
        <v>0.44932432432432434</v>
      </c>
      <c r="CL52" s="4">
        <f t="shared" si="130"/>
        <v>4.29</v>
      </c>
      <c r="CM52" s="4">
        <f t="shared" si="131"/>
        <v>10.414507772020725</v>
      </c>
      <c r="CN52" s="4">
        <f t="shared" si="132"/>
        <v>5.0777202072538854</v>
      </c>
      <c r="CO52" s="4">
        <f t="shared" si="133"/>
        <v>13.333333333333332</v>
      </c>
      <c r="CP52" s="4">
        <f t="shared" si="134"/>
        <v>5.4068716094032547</v>
      </c>
      <c r="CQ52" s="4">
        <f t="shared" si="135"/>
        <v>7.9591836734693882</v>
      </c>
      <c r="CR52" s="4">
        <f t="shared" si="136"/>
        <v>1.7908163265306121</v>
      </c>
      <c r="CS52" s="10">
        <f t="shared" si="137"/>
        <v>0.78747386836513256</v>
      </c>
      <c r="CT52" s="4">
        <f t="shared" si="138"/>
        <v>8.4444444444444446</v>
      </c>
      <c r="CU52" s="40">
        <f t="shared" si="139"/>
        <v>765.13476385725801</v>
      </c>
      <c r="CV52" s="40"/>
      <c r="CW52" s="4">
        <f t="shared" si="140"/>
        <v>52.419705023488184</v>
      </c>
      <c r="CX52" s="4">
        <f t="shared" si="141"/>
        <v>3.0371280537741945</v>
      </c>
      <c r="CY52" s="11">
        <f t="shared" si="142"/>
        <v>644.28624454665089</v>
      </c>
      <c r="CZ52" s="11">
        <f t="shared" si="143"/>
        <v>543.82759825185065</v>
      </c>
      <c r="DA52" s="10"/>
      <c r="DB52" s="10"/>
      <c r="DC52" s="10"/>
      <c r="DD52" s="4"/>
      <c r="DE52" s="31"/>
      <c r="DF52" s="31"/>
      <c r="DG52" s="32"/>
      <c r="DH52" s="32"/>
      <c r="DI52" s="11"/>
      <c r="DJ52" s="11"/>
      <c r="DK52" s="317"/>
      <c r="DL52" s="317"/>
      <c r="DM52" s="317"/>
      <c r="DN52" s="317"/>
      <c r="DO52" s="317"/>
      <c r="DP52" s="317"/>
    </row>
    <row r="53" spans="1:120" s="3" customFormat="1" ht="14" customHeight="1">
      <c r="A53" s="314" t="s">
        <v>144</v>
      </c>
      <c r="B53" s="3" t="s">
        <v>92</v>
      </c>
      <c r="C53" s="3" t="s">
        <v>56</v>
      </c>
      <c r="D53" s="315">
        <v>53.6</v>
      </c>
      <c r="E53" s="316">
        <v>1.5369999999999999</v>
      </c>
      <c r="F53" s="315">
        <v>14.44</v>
      </c>
      <c r="G53" s="315">
        <v>13.237</v>
      </c>
      <c r="H53" s="316">
        <v>0.219</v>
      </c>
      <c r="I53" s="315">
        <v>4.07</v>
      </c>
      <c r="J53" s="315">
        <v>7.13</v>
      </c>
      <c r="K53" s="316">
        <v>3.79</v>
      </c>
      <c r="L53" s="316">
        <v>0.39</v>
      </c>
      <c r="M53" s="316">
        <v>0.41</v>
      </c>
      <c r="N53" s="317"/>
      <c r="O53" s="317"/>
      <c r="P53" s="317"/>
      <c r="Q53" s="317"/>
      <c r="R53" s="4">
        <f t="shared" si="111"/>
        <v>54.240032382108879</v>
      </c>
      <c r="S53" s="10">
        <f t="shared" si="112"/>
        <v>1.5604060913705582</v>
      </c>
      <c r="T53" s="4">
        <f t="shared" si="113"/>
        <v>14.612426634284557</v>
      </c>
      <c r="U53" s="4">
        <f t="shared" si="114"/>
        <v>13.395061728395062</v>
      </c>
      <c r="V53" s="10">
        <f t="shared" si="115"/>
        <v>0.22161505768063142</v>
      </c>
      <c r="W53" s="10">
        <f t="shared" si="116"/>
        <v>4.1185994737907299</v>
      </c>
      <c r="X53" s="10">
        <f t="shared" si="117"/>
        <v>7.2151386359036627</v>
      </c>
      <c r="Y53" s="10">
        <f t="shared" si="118"/>
        <v>3.8352560210483704</v>
      </c>
      <c r="Z53" s="10">
        <f t="shared" si="119"/>
        <v>0.3946569520340012</v>
      </c>
      <c r="AA53" s="10">
        <f t="shared" si="120"/>
        <v>0.41489577008702688</v>
      </c>
      <c r="AB53" s="10">
        <f t="shared" si="121"/>
        <v>0</v>
      </c>
      <c r="AC53" s="10">
        <f t="shared" si="122"/>
        <v>0</v>
      </c>
      <c r="AD53" s="10">
        <f t="shared" si="123"/>
        <v>0</v>
      </c>
      <c r="AE53" s="10"/>
      <c r="AF53" s="317"/>
      <c r="AG53" s="317"/>
      <c r="AH53" s="316">
        <v>1.88</v>
      </c>
      <c r="AI53" s="315">
        <v>100.7</v>
      </c>
      <c r="AJ53" s="11">
        <f t="shared" si="124"/>
        <v>3237.5796178343953</v>
      </c>
      <c r="AK53" s="11">
        <f t="shared" si="125"/>
        <v>9211.7619292073068</v>
      </c>
      <c r="AL53" s="11">
        <f t="shared" si="126"/>
        <v>1789.1644356770466</v>
      </c>
      <c r="AM53" s="317">
        <v>72</v>
      </c>
      <c r="AN53" s="317">
        <v>14</v>
      </c>
      <c r="AO53" s="317">
        <v>25</v>
      </c>
      <c r="AP53" s="317">
        <v>145</v>
      </c>
      <c r="AQ53" s="317">
        <v>68</v>
      </c>
      <c r="AR53" s="317">
        <v>30.2</v>
      </c>
      <c r="AS53" s="317">
        <v>48</v>
      </c>
      <c r="AT53" s="318">
        <v>34.9</v>
      </c>
      <c r="AU53" s="318">
        <v>78.099999999999994</v>
      </c>
      <c r="AV53" s="317">
        <v>21</v>
      </c>
      <c r="AW53" s="317">
        <v>8</v>
      </c>
      <c r="AX53" s="317">
        <v>206</v>
      </c>
      <c r="AY53" s="317">
        <v>33.6</v>
      </c>
      <c r="AZ53" s="317" t="s">
        <v>133</v>
      </c>
      <c r="BA53" s="315">
        <v>15.2</v>
      </c>
      <c r="BB53" s="315">
        <v>39.200000000000003</v>
      </c>
      <c r="BC53" s="315">
        <v>5.35</v>
      </c>
      <c r="BD53" s="315">
        <v>23.8</v>
      </c>
      <c r="BE53" s="315">
        <v>5.77</v>
      </c>
      <c r="BF53" s="315">
        <v>1.76</v>
      </c>
      <c r="BG53" s="315">
        <v>6.32</v>
      </c>
      <c r="BH53" s="315">
        <v>1.1100000000000001</v>
      </c>
      <c r="BI53" s="315">
        <v>6.46</v>
      </c>
      <c r="BJ53" s="315">
        <v>1.26</v>
      </c>
      <c r="BK53" s="315">
        <v>3.6</v>
      </c>
      <c r="BL53" s="316">
        <v>0.52</v>
      </c>
      <c r="BM53" s="316">
        <v>3.37</v>
      </c>
      <c r="BN53" s="316">
        <v>0.47099999999999997</v>
      </c>
      <c r="BO53" s="317" t="s">
        <v>137</v>
      </c>
      <c r="BP53" s="317">
        <v>1.89</v>
      </c>
      <c r="BQ53" s="317">
        <v>0.52</v>
      </c>
      <c r="BR53" s="317">
        <v>3.8</v>
      </c>
      <c r="BS53" s="317">
        <v>0.36</v>
      </c>
      <c r="BT53" s="317"/>
      <c r="BU53" s="317">
        <v>3.4</v>
      </c>
      <c r="BV53" s="317">
        <v>2</v>
      </c>
      <c r="BW53" s="317">
        <v>2</v>
      </c>
      <c r="BX53" s="317" t="s">
        <v>132</v>
      </c>
      <c r="BY53" s="317" t="s">
        <v>130</v>
      </c>
      <c r="BZ53" s="317">
        <v>2.2000000000000002</v>
      </c>
      <c r="CA53" s="317">
        <v>0.06</v>
      </c>
      <c r="CB53" s="317">
        <v>9</v>
      </c>
      <c r="CC53" s="317" t="s">
        <v>131</v>
      </c>
      <c r="CD53" s="317"/>
      <c r="CE53" s="317">
        <v>0.05</v>
      </c>
      <c r="CF53" s="317">
        <v>0.5</v>
      </c>
      <c r="CG53" s="317" t="s">
        <v>134</v>
      </c>
      <c r="CH53" s="317" t="s">
        <v>135</v>
      </c>
      <c r="CI53" s="11">
        <f t="shared" si="127"/>
        <v>33.027013081334502</v>
      </c>
      <c r="CJ53" s="10">
        <f t="shared" si="128"/>
        <v>0.56017308940427457</v>
      </c>
      <c r="CK53" s="10">
        <f t="shared" si="129"/>
        <v>0.1029023746701847</v>
      </c>
      <c r="CL53" s="4">
        <f t="shared" si="130"/>
        <v>4.18</v>
      </c>
      <c r="CM53" s="4">
        <f t="shared" si="131"/>
        <v>6.1309523809523805</v>
      </c>
      <c r="CN53" s="4"/>
      <c r="CO53" s="4">
        <f t="shared" si="133"/>
        <v>10.555555555555555</v>
      </c>
      <c r="CP53" s="4">
        <f t="shared" si="134"/>
        <v>3.0640173283752148</v>
      </c>
      <c r="CQ53" s="4">
        <f t="shared" si="135"/>
        <v>4.5103857566765573</v>
      </c>
      <c r="CR53" s="4">
        <f t="shared" si="136"/>
        <v>1.9169139465875371</v>
      </c>
      <c r="CS53" s="10">
        <f t="shared" si="137"/>
        <v>0.88841365105601056</v>
      </c>
      <c r="CT53" s="4">
        <f t="shared" si="138"/>
        <v>5.8</v>
      </c>
      <c r="CU53" s="40">
        <f t="shared" si="139"/>
        <v>870.88614984519347</v>
      </c>
      <c r="CV53" s="40"/>
      <c r="CW53" s="4">
        <f t="shared" si="140"/>
        <v>52.977996986688687</v>
      </c>
      <c r="CX53" s="4">
        <f t="shared" si="141"/>
        <v>3.6871806784594821</v>
      </c>
      <c r="CY53" s="11"/>
      <c r="CZ53" s="11"/>
      <c r="DA53" s="10"/>
      <c r="DB53" s="10"/>
      <c r="DC53" s="10"/>
      <c r="DD53" s="4"/>
      <c r="DE53" s="31"/>
      <c r="DF53" s="31"/>
      <c r="DG53" s="32"/>
      <c r="DH53" s="32"/>
      <c r="DI53" s="11"/>
      <c r="DJ53" s="11"/>
      <c r="DK53" s="317"/>
      <c r="DL53" s="317"/>
      <c r="DM53" s="317"/>
      <c r="DN53" s="317"/>
      <c r="DO53" s="317"/>
      <c r="DP53" s="317"/>
    </row>
    <row r="54" spans="1:120" s="3" customFormat="1" ht="14" customHeight="1">
      <c r="A54" s="314" t="s">
        <v>145</v>
      </c>
      <c r="B54" s="3" t="s">
        <v>92</v>
      </c>
      <c r="C54" s="3" t="s">
        <v>56</v>
      </c>
      <c r="D54" s="315">
        <v>53.72</v>
      </c>
      <c r="E54" s="316">
        <v>1.849</v>
      </c>
      <c r="F54" s="315">
        <v>14.4</v>
      </c>
      <c r="G54" s="315">
        <v>13.145000000000001</v>
      </c>
      <c r="H54" s="316">
        <v>0.20499999999999999</v>
      </c>
      <c r="I54" s="315">
        <v>3.12</v>
      </c>
      <c r="J54" s="315">
        <v>7.12</v>
      </c>
      <c r="K54" s="316">
        <v>3.64</v>
      </c>
      <c r="L54" s="316">
        <v>0.41</v>
      </c>
      <c r="M54" s="316">
        <v>0.66</v>
      </c>
      <c r="N54" s="317"/>
      <c r="O54" s="317"/>
      <c r="P54" s="317"/>
      <c r="Q54" s="317"/>
      <c r="R54" s="4">
        <f t="shared" si="111"/>
        <v>54.66015466015466</v>
      </c>
      <c r="S54" s="10">
        <f t="shared" si="112"/>
        <v>1.8771573604060914</v>
      </c>
      <c r="T54" s="4">
        <f t="shared" si="113"/>
        <v>14.652014652014651</v>
      </c>
      <c r="U54" s="4">
        <f t="shared" si="114"/>
        <v>13.375050875050878</v>
      </c>
      <c r="V54" s="10">
        <f t="shared" si="115"/>
        <v>0.20858770858770859</v>
      </c>
      <c r="W54" s="10">
        <f t="shared" si="116"/>
        <v>3.1746031746031744</v>
      </c>
      <c r="X54" s="10">
        <f t="shared" si="117"/>
        <v>7.2446072446072449</v>
      </c>
      <c r="Y54" s="10">
        <f t="shared" si="118"/>
        <v>3.7037037037037037</v>
      </c>
      <c r="Z54" s="10">
        <f t="shared" si="119"/>
        <v>0.41717541717541717</v>
      </c>
      <c r="AA54" s="10">
        <f t="shared" si="120"/>
        <v>0.6715506715506715</v>
      </c>
      <c r="AB54" s="10">
        <f t="shared" si="121"/>
        <v>0</v>
      </c>
      <c r="AC54" s="10">
        <f t="shared" si="122"/>
        <v>0</v>
      </c>
      <c r="AD54" s="10">
        <f t="shared" si="123"/>
        <v>0</v>
      </c>
      <c r="AE54" s="10"/>
      <c r="AF54" s="317"/>
      <c r="AG54" s="317"/>
      <c r="AH54" s="316">
        <v>1.19</v>
      </c>
      <c r="AI54" s="315">
        <v>99.47</v>
      </c>
      <c r="AJ54" s="11">
        <f t="shared" si="124"/>
        <v>3403.6093418259024</v>
      </c>
      <c r="AK54" s="11">
        <f t="shared" si="125"/>
        <v>11081.683674108204</v>
      </c>
      <c r="AL54" s="11">
        <f t="shared" si="126"/>
        <v>2880.1183598703678</v>
      </c>
      <c r="AM54" s="317">
        <v>75</v>
      </c>
      <c r="AN54" s="317">
        <v>11</v>
      </c>
      <c r="AO54" s="317">
        <v>24</v>
      </c>
      <c r="AP54" s="317">
        <v>109</v>
      </c>
      <c r="AQ54" s="317">
        <v>21</v>
      </c>
      <c r="AR54" s="317">
        <v>27.2</v>
      </c>
      <c r="AS54" s="317">
        <v>28</v>
      </c>
      <c r="AT54" s="318">
        <v>31.4</v>
      </c>
      <c r="AU54" s="318">
        <v>70.7</v>
      </c>
      <c r="AV54" s="317">
        <v>22</v>
      </c>
      <c r="AW54" s="317">
        <v>8</v>
      </c>
      <c r="AX54" s="317">
        <v>196</v>
      </c>
      <c r="AY54" s="317">
        <v>46.1</v>
      </c>
      <c r="AZ54" s="317">
        <v>0.1</v>
      </c>
      <c r="BA54" s="315">
        <v>19.8</v>
      </c>
      <c r="BB54" s="315">
        <v>50.4</v>
      </c>
      <c r="BC54" s="315">
        <v>7</v>
      </c>
      <c r="BD54" s="315">
        <v>31.6</v>
      </c>
      <c r="BE54" s="315">
        <v>8.09</v>
      </c>
      <c r="BF54" s="315">
        <v>2.0699999999999998</v>
      </c>
      <c r="BG54" s="315">
        <v>8.44</v>
      </c>
      <c r="BH54" s="315">
        <v>1.49</v>
      </c>
      <c r="BI54" s="315">
        <v>8.67</v>
      </c>
      <c r="BJ54" s="315">
        <v>1.72</v>
      </c>
      <c r="BK54" s="315">
        <v>4.9400000000000004</v>
      </c>
      <c r="BL54" s="316">
        <v>0.71899999999999997</v>
      </c>
      <c r="BM54" s="316">
        <v>4.58</v>
      </c>
      <c r="BN54" s="316">
        <v>0.64300000000000002</v>
      </c>
      <c r="BO54" s="317" t="s">
        <v>137</v>
      </c>
      <c r="BP54" s="317">
        <v>2.48</v>
      </c>
      <c r="BQ54" s="317">
        <v>0.62</v>
      </c>
      <c r="BR54" s="317">
        <v>9.8000000000000007</v>
      </c>
      <c r="BS54" s="317">
        <v>0.72</v>
      </c>
      <c r="BT54" s="317"/>
      <c r="BU54" s="317">
        <v>3.9</v>
      </c>
      <c r="BV54" s="317">
        <v>1.9</v>
      </c>
      <c r="BW54" s="317">
        <v>2</v>
      </c>
      <c r="BX54" s="317" t="s">
        <v>132</v>
      </c>
      <c r="BY54" s="317" t="s">
        <v>130</v>
      </c>
      <c r="BZ54" s="317">
        <v>1.4</v>
      </c>
      <c r="CA54" s="317">
        <v>0.05</v>
      </c>
      <c r="CB54" s="317">
        <v>8</v>
      </c>
      <c r="CC54" s="317" t="s">
        <v>131</v>
      </c>
      <c r="CD54" s="317"/>
      <c r="CE54" s="317">
        <v>0.03</v>
      </c>
      <c r="CF54" s="317">
        <v>0.4</v>
      </c>
      <c r="CG54" s="317" t="s">
        <v>134</v>
      </c>
      <c r="CH54" s="317" t="s">
        <v>135</v>
      </c>
      <c r="CI54" s="11">
        <f t="shared" si="127"/>
        <v>27.571862805646543</v>
      </c>
      <c r="CJ54" s="10">
        <f t="shared" si="128"/>
        <v>0.565635306732853</v>
      </c>
      <c r="CK54" s="10">
        <f t="shared" si="129"/>
        <v>0.11263736263736263</v>
      </c>
      <c r="CL54" s="4">
        <f t="shared" si="130"/>
        <v>4.05</v>
      </c>
      <c r="CM54" s="4">
        <f t="shared" si="131"/>
        <v>4.2516268980477223</v>
      </c>
      <c r="CN54" s="4"/>
      <c r="CO54" s="4">
        <f t="shared" si="133"/>
        <v>13.611111111111112</v>
      </c>
      <c r="CP54" s="4">
        <f t="shared" si="134"/>
        <v>2.936819412967774</v>
      </c>
      <c r="CQ54" s="4">
        <f t="shared" si="135"/>
        <v>4.323144104803494</v>
      </c>
      <c r="CR54" s="4">
        <f t="shared" si="136"/>
        <v>1.8930131004366813</v>
      </c>
      <c r="CS54" s="10">
        <f t="shared" si="137"/>
        <v>0.76361396535409043</v>
      </c>
      <c r="CT54" s="4">
        <f t="shared" si="138"/>
        <v>4.541666666666667</v>
      </c>
      <c r="CU54" s="40">
        <f t="shared" si="139"/>
        <v>943.41143844369333</v>
      </c>
      <c r="CV54" s="40"/>
      <c r="CW54" s="4">
        <f t="shared" si="140"/>
        <v>52.231963575174973</v>
      </c>
      <c r="CX54" s="4">
        <f t="shared" si="141"/>
        <v>3.6074725807591821</v>
      </c>
      <c r="CY54" s="11"/>
      <c r="CZ54" s="11"/>
      <c r="DA54" s="10"/>
      <c r="DB54" s="10"/>
      <c r="DC54" s="10"/>
      <c r="DD54" s="4"/>
      <c r="DE54" s="31"/>
      <c r="DF54" s="31"/>
      <c r="DG54" s="32"/>
      <c r="DH54" s="32"/>
      <c r="DI54" s="11"/>
      <c r="DJ54" s="11"/>
      <c r="DK54" s="317"/>
      <c r="DL54" s="317"/>
      <c r="DM54" s="317"/>
      <c r="DN54" s="317"/>
      <c r="DO54" s="317"/>
      <c r="DP54" s="317"/>
    </row>
    <row r="55" spans="1:120" s="3" customFormat="1" ht="14" customHeight="1">
      <c r="A55" s="314" t="s">
        <v>146</v>
      </c>
      <c r="B55" s="3" t="s">
        <v>92</v>
      </c>
      <c r="C55" s="3" t="s">
        <v>56</v>
      </c>
      <c r="D55" s="315">
        <v>58.89</v>
      </c>
      <c r="E55" s="316">
        <v>1.488</v>
      </c>
      <c r="F55" s="315">
        <v>15.58</v>
      </c>
      <c r="G55" s="315">
        <v>7.2060000000000004</v>
      </c>
      <c r="H55" s="316">
        <v>0.106</v>
      </c>
      <c r="I55" s="315">
        <v>2.19</v>
      </c>
      <c r="J55" s="315">
        <v>7.73</v>
      </c>
      <c r="K55" s="316">
        <v>4.34</v>
      </c>
      <c r="L55" s="316">
        <v>0.4</v>
      </c>
      <c r="M55" s="316">
        <v>0.5</v>
      </c>
      <c r="N55" s="317"/>
      <c r="O55" s="317"/>
      <c r="P55" s="317"/>
      <c r="Q55" s="317"/>
      <c r="R55" s="4">
        <f t="shared" si="111"/>
        <v>59.829320329167942</v>
      </c>
      <c r="S55" s="10">
        <f t="shared" si="112"/>
        <v>1.5106598984771575</v>
      </c>
      <c r="T55" s="4">
        <f t="shared" si="113"/>
        <v>15.828507568830643</v>
      </c>
      <c r="U55" s="4">
        <f t="shared" si="114"/>
        <v>7.320938738189577</v>
      </c>
      <c r="V55" s="10">
        <f t="shared" si="115"/>
        <v>0.10769074469165905</v>
      </c>
      <c r="W55" s="10">
        <f t="shared" si="116"/>
        <v>2.2249314233465407</v>
      </c>
      <c r="X55" s="10">
        <f t="shared" si="117"/>
        <v>7.8532967591181553</v>
      </c>
      <c r="Y55" s="10">
        <f t="shared" si="118"/>
        <v>4.4092248298283048</v>
      </c>
      <c r="Z55" s="10">
        <f t="shared" si="119"/>
        <v>0.40638016864777005</v>
      </c>
      <c r="AA55" s="10">
        <f t="shared" si="120"/>
        <v>0.50797521080971253</v>
      </c>
      <c r="AB55" s="10">
        <f t="shared" si="121"/>
        <v>0</v>
      </c>
      <c r="AC55" s="10">
        <f t="shared" si="122"/>
        <v>0</v>
      </c>
      <c r="AD55" s="10">
        <f t="shared" si="123"/>
        <v>0</v>
      </c>
      <c r="AE55" s="10"/>
      <c r="AF55" s="317"/>
      <c r="AG55" s="317"/>
      <c r="AH55" s="316">
        <v>1.67</v>
      </c>
      <c r="AI55" s="315">
        <v>100.1</v>
      </c>
      <c r="AJ55" s="11">
        <f t="shared" si="124"/>
        <v>3320.5944798301484</v>
      </c>
      <c r="AK55" s="11">
        <f t="shared" si="125"/>
        <v>8918.0883218350518</v>
      </c>
      <c r="AL55" s="11">
        <f t="shared" si="126"/>
        <v>2181.9078483866424</v>
      </c>
      <c r="AM55" s="317">
        <v>82</v>
      </c>
      <c r="AN55" s="317">
        <v>10</v>
      </c>
      <c r="AO55" s="317">
        <v>25</v>
      </c>
      <c r="AP55" s="317">
        <v>66</v>
      </c>
      <c r="AQ55" s="317">
        <v>11</v>
      </c>
      <c r="AR55" s="317">
        <v>11.8</v>
      </c>
      <c r="AS55" s="317">
        <v>18</v>
      </c>
      <c r="AT55" s="318">
        <v>71.900000000000006</v>
      </c>
      <c r="AU55" s="318">
        <v>46</v>
      </c>
      <c r="AV55" s="317">
        <v>27</v>
      </c>
      <c r="AW55" s="317">
        <v>10</v>
      </c>
      <c r="AX55" s="317">
        <v>231</v>
      </c>
      <c r="AY55" s="317">
        <v>56.9</v>
      </c>
      <c r="AZ55" s="317" t="s">
        <v>133</v>
      </c>
      <c r="BA55" s="315">
        <v>25.8</v>
      </c>
      <c r="BB55" s="315">
        <v>77.400000000000006</v>
      </c>
      <c r="BC55" s="315">
        <v>10.7</v>
      </c>
      <c r="BD55" s="315">
        <v>46.4</v>
      </c>
      <c r="BE55" s="315">
        <v>10.5</v>
      </c>
      <c r="BF55" s="315">
        <v>2.93</v>
      </c>
      <c r="BG55" s="315">
        <v>10.7</v>
      </c>
      <c r="BH55" s="315">
        <v>1.77</v>
      </c>
      <c r="BI55" s="315">
        <v>10.3</v>
      </c>
      <c r="BJ55" s="315">
        <v>2.08</v>
      </c>
      <c r="BK55" s="315">
        <v>5.73</v>
      </c>
      <c r="BL55" s="316">
        <v>0.86699999999999999</v>
      </c>
      <c r="BM55" s="316">
        <v>5.7</v>
      </c>
      <c r="BN55" s="316">
        <v>0.81599999999999995</v>
      </c>
      <c r="BO55" s="317" t="s">
        <v>137</v>
      </c>
      <c r="BP55" s="317">
        <v>2.7</v>
      </c>
      <c r="BQ55" s="317">
        <v>1.32</v>
      </c>
      <c r="BR55" s="317">
        <v>5.3</v>
      </c>
      <c r="BS55" s="317">
        <v>0.31</v>
      </c>
      <c r="BT55" s="317"/>
      <c r="BU55" s="317">
        <v>5.0999999999999996</v>
      </c>
      <c r="BV55" s="317">
        <v>2.9</v>
      </c>
      <c r="BW55" s="317">
        <v>18</v>
      </c>
      <c r="BX55" s="317" t="s">
        <v>132</v>
      </c>
      <c r="BY55" s="317" t="s">
        <v>130</v>
      </c>
      <c r="BZ55" s="317">
        <v>0.6</v>
      </c>
      <c r="CA55" s="317">
        <v>0.08</v>
      </c>
      <c r="CB55" s="317">
        <v>7</v>
      </c>
      <c r="CC55" s="317" t="s">
        <v>131</v>
      </c>
      <c r="CD55" s="317"/>
      <c r="CE55" s="317">
        <v>0.03</v>
      </c>
      <c r="CF55" s="317">
        <v>0.5</v>
      </c>
      <c r="CG55" s="317" t="s">
        <v>134</v>
      </c>
      <c r="CH55" s="317" t="s">
        <v>135</v>
      </c>
      <c r="CI55" s="11">
        <f t="shared" si="127"/>
        <v>32.77006679031507</v>
      </c>
      <c r="CJ55" s="10">
        <f t="shared" si="128"/>
        <v>0.54832233020624344</v>
      </c>
      <c r="CK55" s="10">
        <f t="shared" si="129"/>
        <v>9.2165898617511524E-2</v>
      </c>
      <c r="CL55" s="4">
        <f t="shared" si="130"/>
        <v>4.74</v>
      </c>
      <c r="CM55" s="4">
        <f t="shared" si="131"/>
        <v>4.0597539543057994</v>
      </c>
      <c r="CN55" s="4"/>
      <c r="CO55" s="4">
        <f t="shared" si="133"/>
        <v>17.096774193548388</v>
      </c>
      <c r="CP55" s="4">
        <f t="shared" si="134"/>
        <v>3.0748389962247393</v>
      </c>
      <c r="CQ55" s="4">
        <f t="shared" si="135"/>
        <v>4.5263157894736841</v>
      </c>
      <c r="CR55" s="4">
        <f t="shared" si="136"/>
        <v>1.8070175438596492</v>
      </c>
      <c r="CS55" s="10">
        <f t="shared" si="137"/>
        <v>0.84261674031045619</v>
      </c>
      <c r="CT55" s="4">
        <f t="shared" si="138"/>
        <v>2.64</v>
      </c>
      <c r="CU55" s="40">
        <f t="shared" si="139"/>
        <v>972.0546975657486</v>
      </c>
      <c r="CV55" s="40"/>
      <c r="CW55" s="4">
        <f t="shared" si="140"/>
        <v>50.194028485279418</v>
      </c>
      <c r="CX55" s="4">
        <f t="shared" si="141"/>
        <v>3.2286652441641577</v>
      </c>
      <c r="CY55" s="11"/>
      <c r="CZ55" s="11"/>
      <c r="DA55" s="10"/>
      <c r="DB55" s="10"/>
      <c r="DC55" s="10"/>
      <c r="DD55" s="4"/>
      <c r="DE55" s="31"/>
      <c r="DF55" s="31"/>
      <c r="DG55" s="32"/>
      <c r="DH55" s="32"/>
      <c r="DI55" s="11"/>
      <c r="DJ55" s="11"/>
      <c r="DK55" s="317"/>
      <c r="DL55" s="317"/>
      <c r="DM55" s="317"/>
      <c r="DN55" s="317"/>
      <c r="DO55" s="317"/>
      <c r="DP55" s="317"/>
    </row>
    <row r="56" spans="1:120" s="3" customFormat="1" ht="14" customHeight="1">
      <c r="A56" s="314" t="s">
        <v>147</v>
      </c>
      <c r="B56" s="3" t="s">
        <v>92</v>
      </c>
      <c r="C56" s="3" t="s">
        <v>56</v>
      </c>
      <c r="D56" s="315">
        <v>59.94</v>
      </c>
      <c r="E56" s="316">
        <v>2.1890000000000001</v>
      </c>
      <c r="F56" s="315">
        <v>14.28</v>
      </c>
      <c r="G56" s="315">
        <v>5.07</v>
      </c>
      <c r="H56" s="316">
        <v>8.4000000000000005E-2</v>
      </c>
      <c r="I56" s="315">
        <v>2.87</v>
      </c>
      <c r="J56" s="315">
        <v>9.81</v>
      </c>
      <c r="K56" s="316">
        <v>4.34</v>
      </c>
      <c r="L56" s="316">
        <v>0.18</v>
      </c>
      <c r="M56" s="316">
        <v>0.28999999999999998</v>
      </c>
      <c r="N56" s="317"/>
      <c r="O56" s="317"/>
      <c r="P56" s="317"/>
      <c r="Q56" s="317"/>
      <c r="R56" s="4">
        <f t="shared" si="111"/>
        <v>60.539339460660536</v>
      </c>
      <c r="S56" s="10">
        <f t="shared" si="112"/>
        <v>2.2223350253807106</v>
      </c>
      <c r="T56" s="4">
        <f t="shared" si="113"/>
        <v>14.422785577214421</v>
      </c>
      <c r="U56" s="4">
        <f t="shared" si="114"/>
        <v>5.1206948793051206</v>
      </c>
      <c r="V56" s="10">
        <f t="shared" si="115"/>
        <v>8.4839915160084836E-2</v>
      </c>
      <c r="W56" s="10">
        <f t="shared" si="116"/>
        <v>2.8986971013028984</v>
      </c>
      <c r="X56" s="10">
        <f t="shared" si="117"/>
        <v>9.9080900919099069</v>
      </c>
      <c r="Y56" s="10">
        <f t="shared" si="118"/>
        <v>4.3833956166043828</v>
      </c>
      <c r="Z56" s="10">
        <f t="shared" si="119"/>
        <v>0.18179981820018179</v>
      </c>
      <c r="AA56" s="10">
        <f t="shared" si="120"/>
        <v>0.29289970710029284</v>
      </c>
      <c r="AB56" s="10">
        <f t="shared" si="121"/>
        <v>0</v>
      </c>
      <c r="AC56" s="10">
        <f t="shared" si="122"/>
        <v>0</v>
      </c>
      <c r="AD56" s="10">
        <f t="shared" si="123"/>
        <v>0</v>
      </c>
      <c r="AE56" s="10"/>
      <c r="AF56" s="317"/>
      <c r="AG56" s="317"/>
      <c r="AH56" s="316">
        <v>1.69</v>
      </c>
      <c r="AI56" s="315">
        <v>100.7</v>
      </c>
      <c r="AJ56" s="11">
        <f t="shared" si="124"/>
        <v>1494.2675159235669</v>
      </c>
      <c r="AK56" s="11">
        <f t="shared" si="125"/>
        <v>13119.418908936106</v>
      </c>
      <c r="AL56" s="11">
        <f t="shared" si="126"/>
        <v>1265.5065520642524</v>
      </c>
      <c r="AM56" s="317">
        <v>26</v>
      </c>
      <c r="AN56" s="317">
        <v>3</v>
      </c>
      <c r="AO56" s="317">
        <v>27</v>
      </c>
      <c r="AP56" s="317">
        <v>112</v>
      </c>
      <c r="AQ56" s="317">
        <v>11</v>
      </c>
      <c r="AR56" s="317">
        <v>6.3</v>
      </c>
      <c r="AS56" s="317">
        <v>19</v>
      </c>
      <c r="AT56" s="318">
        <v>7.7</v>
      </c>
      <c r="AU56" s="318">
        <v>28.1</v>
      </c>
      <c r="AV56" s="317">
        <v>22</v>
      </c>
      <c r="AW56" s="317">
        <v>4</v>
      </c>
      <c r="AX56" s="317">
        <v>200</v>
      </c>
      <c r="AY56" s="317">
        <v>84.5</v>
      </c>
      <c r="AZ56" s="317" t="s">
        <v>133</v>
      </c>
      <c r="BA56" s="315">
        <v>28.9</v>
      </c>
      <c r="BB56" s="315">
        <v>117</v>
      </c>
      <c r="BC56" s="315">
        <v>18.2</v>
      </c>
      <c r="BD56" s="315">
        <v>77.5</v>
      </c>
      <c r="BE56" s="315">
        <v>17</v>
      </c>
      <c r="BF56" s="315">
        <v>3.23</v>
      </c>
      <c r="BG56" s="315">
        <v>15.7</v>
      </c>
      <c r="BH56" s="315">
        <v>2.67</v>
      </c>
      <c r="BI56" s="315">
        <v>15.5</v>
      </c>
      <c r="BJ56" s="315">
        <v>3.11</v>
      </c>
      <c r="BK56" s="315">
        <v>8.92</v>
      </c>
      <c r="BL56" s="316">
        <v>1.37</v>
      </c>
      <c r="BM56" s="316">
        <v>9.0299999999999994</v>
      </c>
      <c r="BN56" s="316">
        <v>1.27</v>
      </c>
      <c r="BO56" s="317">
        <v>2</v>
      </c>
      <c r="BP56" s="317">
        <v>5.58</v>
      </c>
      <c r="BQ56" s="317">
        <v>2.42</v>
      </c>
      <c r="BR56" s="317">
        <v>16.899999999999999</v>
      </c>
      <c r="BS56" s="317">
        <v>0.8</v>
      </c>
      <c r="BT56" s="317"/>
      <c r="BU56" s="317">
        <v>5.7</v>
      </c>
      <c r="BV56" s="317">
        <v>3.1</v>
      </c>
      <c r="BW56" s="317">
        <v>9</v>
      </c>
      <c r="BX56" s="317" t="s">
        <v>132</v>
      </c>
      <c r="BY56" s="317" t="s">
        <v>130</v>
      </c>
      <c r="BZ56" s="317">
        <v>0.5</v>
      </c>
      <c r="CA56" s="317">
        <v>0.02</v>
      </c>
      <c r="CB56" s="317">
        <v>7</v>
      </c>
      <c r="CC56" s="317" t="s">
        <v>131</v>
      </c>
      <c r="CD56" s="317"/>
      <c r="CE56" s="317" t="s">
        <v>134</v>
      </c>
      <c r="CF56" s="317">
        <v>0.4</v>
      </c>
      <c r="CG56" s="317" t="s">
        <v>134</v>
      </c>
      <c r="CH56" s="317" t="s">
        <v>135</v>
      </c>
      <c r="CI56" s="11">
        <f t="shared" si="127"/>
        <v>47.586392318375239</v>
      </c>
      <c r="CJ56" s="10">
        <f t="shared" si="128"/>
        <v>0.43181593853513933</v>
      </c>
      <c r="CK56" s="10">
        <f t="shared" si="129"/>
        <v>4.1474654377880185E-2</v>
      </c>
      <c r="CL56" s="4">
        <f t="shared" si="130"/>
        <v>4.5199999999999996</v>
      </c>
      <c r="CM56" s="4">
        <f t="shared" si="131"/>
        <v>2.3668639053254439</v>
      </c>
      <c r="CN56" s="4"/>
      <c r="CO56" s="4">
        <f t="shared" si="133"/>
        <v>21.124999999999996</v>
      </c>
      <c r="CP56" s="4">
        <f t="shared" si="134"/>
        <v>2.1741405815588921</v>
      </c>
      <c r="CQ56" s="4">
        <f t="shared" si="135"/>
        <v>3.2004429678848285</v>
      </c>
      <c r="CR56" s="4">
        <f t="shared" si="136"/>
        <v>1.7165005537098561</v>
      </c>
      <c r="CS56" s="10">
        <f t="shared" si="137"/>
        <v>0.60266675696187566</v>
      </c>
      <c r="CT56" s="4">
        <f t="shared" si="138"/>
        <v>4.1481481481481479</v>
      </c>
      <c r="CU56" s="40">
        <f t="shared" si="139"/>
        <v>911.52961433947155</v>
      </c>
      <c r="CV56" s="40"/>
      <c r="CW56" s="4">
        <f t="shared" si="140"/>
        <v>50.842109233670875</v>
      </c>
      <c r="CX56" s="4">
        <f t="shared" si="141"/>
        <v>4.175546413567659</v>
      </c>
      <c r="CY56" s="11"/>
      <c r="CZ56" s="11"/>
      <c r="DA56" s="10"/>
      <c r="DB56" s="10"/>
      <c r="DC56" s="10"/>
      <c r="DD56" s="4"/>
      <c r="DE56" s="31"/>
      <c r="DF56" s="31"/>
      <c r="DG56" s="32"/>
      <c r="DH56" s="32"/>
      <c r="DI56" s="11"/>
      <c r="DJ56" s="11"/>
      <c r="DK56" s="317"/>
      <c r="DL56" s="317"/>
      <c r="DM56" s="317"/>
      <c r="DN56" s="317"/>
      <c r="DO56" s="317"/>
      <c r="DP56" s="317"/>
    </row>
    <row r="57" spans="1:120" s="3" customFormat="1" ht="14" customHeight="1">
      <c r="A57" s="314" t="s">
        <v>148</v>
      </c>
      <c r="B57" s="3" t="s">
        <v>92</v>
      </c>
      <c r="C57" s="3" t="s">
        <v>56</v>
      </c>
      <c r="D57" s="315">
        <v>51.94</v>
      </c>
      <c r="E57" s="316">
        <v>1.38</v>
      </c>
      <c r="F57" s="315">
        <v>15.32</v>
      </c>
      <c r="G57" s="315">
        <v>10.452000000000002</v>
      </c>
      <c r="H57" s="316">
        <v>0.16700000000000001</v>
      </c>
      <c r="I57" s="315">
        <v>5.43</v>
      </c>
      <c r="J57" s="315">
        <v>9.36</v>
      </c>
      <c r="K57" s="316">
        <v>3.65</v>
      </c>
      <c r="L57" s="316">
        <v>0.69</v>
      </c>
      <c r="M57" s="316">
        <v>0.23</v>
      </c>
      <c r="N57" s="317"/>
      <c r="O57" s="317"/>
      <c r="P57" s="317"/>
      <c r="Q57" s="317"/>
      <c r="R57" s="4">
        <f t="shared" si="111"/>
        <v>52.661462029808376</v>
      </c>
      <c r="S57" s="10">
        <f t="shared" si="112"/>
        <v>1.4010152284263959</v>
      </c>
      <c r="T57" s="4">
        <f t="shared" si="113"/>
        <v>15.53279935111021</v>
      </c>
      <c r="U57" s="4">
        <f t="shared" si="114"/>
        <v>10.597181384974149</v>
      </c>
      <c r="V57" s="10">
        <f t="shared" si="115"/>
        <v>0.16931967961066613</v>
      </c>
      <c r="W57" s="10">
        <f t="shared" si="116"/>
        <v>5.5054243130893239</v>
      </c>
      <c r="X57" s="10">
        <f t="shared" si="117"/>
        <v>9.4900131805738628</v>
      </c>
      <c r="Y57" s="10">
        <f t="shared" si="118"/>
        <v>3.7006995843049784</v>
      </c>
      <c r="Z57" s="10">
        <f t="shared" si="119"/>
        <v>0.69958430497820134</v>
      </c>
      <c r="AA57" s="10">
        <f t="shared" si="120"/>
        <v>0.23319476832606714</v>
      </c>
      <c r="AB57" s="10">
        <f t="shared" si="121"/>
        <v>0</v>
      </c>
      <c r="AC57" s="10">
        <f t="shared" si="122"/>
        <v>0</v>
      </c>
      <c r="AD57" s="10">
        <f t="shared" si="123"/>
        <v>0</v>
      </c>
      <c r="AE57" s="10"/>
      <c r="AF57" s="317"/>
      <c r="AG57" s="317"/>
      <c r="AH57" s="316">
        <v>1.29</v>
      </c>
      <c r="AI57" s="315">
        <v>99.92</v>
      </c>
      <c r="AJ57" s="11">
        <f t="shared" si="124"/>
        <v>5728.0254777070058</v>
      </c>
      <c r="AK57" s="11">
        <f t="shared" si="125"/>
        <v>8270.807717830894</v>
      </c>
      <c r="AL57" s="11">
        <f t="shared" si="126"/>
        <v>1003.6776102578553</v>
      </c>
      <c r="AM57" s="317">
        <v>96</v>
      </c>
      <c r="AN57" s="317">
        <v>10</v>
      </c>
      <c r="AO57" s="317">
        <v>28</v>
      </c>
      <c r="AP57" s="317">
        <v>212</v>
      </c>
      <c r="AQ57" s="317">
        <v>107</v>
      </c>
      <c r="AR57" s="317">
        <v>26.3</v>
      </c>
      <c r="AS57" s="317">
        <v>53</v>
      </c>
      <c r="AT57" s="318">
        <v>21.1</v>
      </c>
      <c r="AU57" s="318">
        <v>76.8</v>
      </c>
      <c r="AV57" s="317">
        <v>19</v>
      </c>
      <c r="AW57" s="317">
        <v>23</v>
      </c>
      <c r="AX57" s="317">
        <v>312</v>
      </c>
      <c r="AY57" s="317">
        <v>23.4</v>
      </c>
      <c r="AZ57" s="317">
        <v>0.2</v>
      </c>
      <c r="BA57" s="315">
        <v>19.7</v>
      </c>
      <c r="BB57" s="315">
        <v>49.7</v>
      </c>
      <c r="BC57" s="315">
        <v>7.14</v>
      </c>
      <c r="BD57" s="315">
        <v>29.5</v>
      </c>
      <c r="BE57" s="315">
        <v>5.72</v>
      </c>
      <c r="BF57" s="315">
        <v>1.39</v>
      </c>
      <c r="BG57" s="315">
        <v>5.01</v>
      </c>
      <c r="BH57" s="315">
        <v>0.72</v>
      </c>
      <c r="BI57" s="315">
        <v>4.29</v>
      </c>
      <c r="BJ57" s="315">
        <v>0.88</v>
      </c>
      <c r="BK57" s="315">
        <v>2.5299999999999998</v>
      </c>
      <c r="BL57" s="316">
        <v>0.38400000000000001</v>
      </c>
      <c r="BM57" s="316">
        <v>2.35</v>
      </c>
      <c r="BN57" s="316">
        <v>0.34799999999999998</v>
      </c>
      <c r="BO57" s="317" t="s">
        <v>137</v>
      </c>
      <c r="BP57" s="317">
        <v>1.84</v>
      </c>
      <c r="BQ57" s="317">
        <v>0.44</v>
      </c>
      <c r="BR57" s="317">
        <v>7.2</v>
      </c>
      <c r="BS57" s="317">
        <v>0.43</v>
      </c>
      <c r="BT57" s="317">
        <v>115</v>
      </c>
      <c r="BU57" s="317">
        <v>2.9</v>
      </c>
      <c r="BV57" s="317">
        <v>2.5</v>
      </c>
      <c r="BW57" s="317">
        <v>3</v>
      </c>
      <c r="BX57" s="317" t="s">
        <v>132</v>
      </c>
      <c r="BY57" s="317" t="s">
        <v>130</v>
      </c>
      <c r="BZ57" s="317"/>
      <c r="CA57" s="317"/>
      <c r="CB57" s="317"/>
      <c r="CC57" s="317" t="s">
        <v>131</v>
      </c>
      <c r="CD57" s="317"/>
      <c r="CE57" s="317"/>
      <c r="CF57" s="317"/>
      <c r="CG57" s="317"/>
      <c r="CH57" s="317">
        <v>0.11</v>
      </c>
      <c r="CI57" s="11">
        <f t="shared" si="127"/>
        <v>45.451489176336281</v>
      </c>
      <c r="CJ57" s="10">
        <f t="shared" si="128"/>
        <v>0.49057513394639291</v>
      </c>
      <c r="CK57" s="10">
        <f t="shared" si="129"/>
        <v>0.18904109589041096</v>
      </c>
      <c r="CL57" s="4">
        <f t="shared" si="130"/>
        <v>4.34</v>
      </c>
      <c r="CM57" s="4">
        <f t="shared" si="131"/>
        <v>13.333333333333334</v>
      </c>
      <c r="CN57" s="4">
        <f t="shared" si="132"/>
        <v>4.9145299145299148</v>
      </c>
      <c r="CO57" s="4">
        <f t="shared" si="133"/>
        <v>16.744186046511629</v>
      </c>
      <c r="CP57" s="4">
        <f t="shared" si="134"/>
        <v>5.6947661369961402</v>
      </c>
      <c r="CQ57" s="4">
        <f t="shared" si="135"/>
        <v>8.3829787234042552</v>
      </c>
      <c r="CR57" s="4">
        <f t="shared" si="136"/>
        <v>1.8255319148936169</v>
      </c>
      <c r="CS57" s="10">
        <f t="shared" si="137"/>
        <v>0.79149271875436933</v>
      </c>
      <c r="CT57" s="4">
        <f t="shared" si="138"/>
        <v>7.5714285714285712</v>
      </c>
      <c r="CU57" s="40">
        <f t="shared" si="139"/>
        <v>769.76824604421392</v>
      </c>
      <c r="CV57" s="40"/>
      <c r="CW57" s="4">
        <f t="shared" si="140"/>
        <v>53.797555996024613</v>
      </c>
      <c r="CX57" s="4">
        <f t="shared" si="141"/>
        <v>4.5526921923776085</v>
      </c>
      <c r="CY57" s="11">
        <f t="shared" si="142"/>
        <v>576.13835398357242</v>
      </c>
      <c r="CZ57" s="11">
        <f t="shared" si="143"/>
        <v>450.37342920088736</v>
      </c>
      <c r="DA57" s="10"/>
      <c r="DB57" s="10"/>
      <c r="DC57" s="10"/>
      <c r="DD57" s="4"/>
      <c r="DE57" s="31"/>
      <c r="DF57" s="31"/>
      <c r="DG57" s="32"/>
      <c r="DH57" s="32"/>
      <c r="DI57" s="11"/>
      <c r="DJ57" s="11"/>
      <c r="DK57" s="317"/>
      <c r="DL57" s="317"/>
      <c r="DM57" s="317"/>
      <c r="DN57" s="317"/>
      <c r="DO57" s="317"/>
      <c r="DP57" s="317"/>
    </row>
    <row r="58" spans="1:120" s="3" customFormat="1" ht="14" customHeight="1">
      <c r="A58" s="314" t="s">
        <v>149</v>
      </c>
      <c r="B58" s="3" t="s">
        <v>92</v>
      </c>
      <c r="C58" s="3" t="s">
        <v>56</v>
      </c>
      <c r="D58" s="315">
        <v>49.96</v>
      </c>
      <c r="E58" s="316">
        <v>1.5069999999999999</v>
      </c>
      <c r="F58" s="315">
        <v>15.18</v>
      </c>
      <c r="G58" s="315">
        <v>12.656000000000001</v>
      </c>
      <c r="H58" s="316">
        <v>0.17699999999999999</v>
      </c>
      <c r="I58" s="315">
        <v>5.92</v>
      </c>
      <c r="J58" s="315">
        <v>8.35</v>
      </c>
      <c r="K58" s="316">
        <v>3.49</v>
      </c>
      <c r="L58" s="316">
        <v>1.37</v>
      </c>
      <c r="M58" s="316">
        <v>0.32</v>
      </c>
      <c r="N58" s="317"/>
      <c r="O58" s="317"/>
      <c r="P58" s="317"/>
      <c r="Q58" s="317"/>
      <c r="R58" s="4">
        <f t="shared" si="111"/>
        <v>50.469744418628146</v>
      </c>
      <c r="S58" s="10">
        <f t="shared" si="112"/>
        <v>1.5299492385786801</v>
      </c>
      <c r="T58" s="4">
        <f t="shared" si="113"/>
        <v>15.334882311344581</v>
      </c>
      <c r="U58" s="4">
        <f t="shared" si="114"/>
        <v>12.785129811092032</v>
      </c>
      <c r="V58" s="10">
        <f t="shared" si="115"/>
        <v>0.17880593999393879</v>
      </c>
      <c r="W58" s="10">
        <f t="shared" si="116"/>
        <v>5.9804020608142237</v>
      </c>
      <c r="X58" s="10">
        <f t="shared" si="117"/>
        <v>8.4351954742903335</v>
      </c>
      <c r="Y58" s="10">
        <f t="shared" si="118"/>
        <v>3.5256086473381152</v>
      </c>
      <c r="Z58" s="10">
        <f t="shared" si="119"/>
        <v>1.3839781796141024</v>
      </c>
      <c r="AA58" s="10">
        <f t="shared" si="120"/>
        <v>0.32326497626022832</v>
      </c>
      <c r="AB58" s="10">
        <f t="shared" si="121"/>
        <v>0</v>
      </c>
      <c r="AC58" s="10">
        <f t="shared" si="122"/>
        <v>0</v>
      </c>
      <c r="AD58" s="10">
        <f t="shared" si="123"/>
        <v>0</v>
      </c>
      <c r="AE58" s="10"/>
      <c r="AF58" s="317"/>
      <c r="AG58" s="317"/>
      <c r="AH58" s="316">
        <v>1.51</v>
      </c>
      <c r="AI58" s="315">
        <v>100.5</v>
      </c>
      <c r="AJ58" s="11">
        <f t="shared" si="124"/>
        <v>11373.036093418261</v>
      </c>
      <c r="AK58" s="11">
        <f t="shared" si="125"/>
        <v>9031.9617614283743</v>
      </c>
      <c r="AL58" s="11">
        <f t="shared" si="126"/>
        <v>1396.4210229674509</v>
      </c>
      <c r="AM58" s="317">
        <v>201</v>
      </c>
      <c r="AN58" s="317">
        <v>19</v>
      </c>
      <c r="AO58" s="317">
        <v>30</v>
      </c>
      <c r="AP58" s="317">
        <v>247</v>
      </c>
      <c r="AQ58" s="317">
        <v>114</v>
      </c>
      <c r="AR58" s="317">
        <v>31.8</v>
      </c>
      <c r="AS58" s="317">
        <v>77</v>
      </c>
      <c r="AT58" s="318">
        <v>7.5</v>
      </c>
      <c r="AU58" s="318">
        <v>84</v>
      </c>
      <c r="AV58" s="317">
        <v>21</v>
      </c>
      <c r="AW58" s="317">
        <v>40</v>
      </c>
      <c r="AX58" s="317">
        <v>235</v>
      </c>
      <c r="AY58" s="317">
        <v>51.2</v>
      </c>
      <c r="AZ58" s="317">
        <v>0.1</v>
      </c>
      <c r="BA58" s="315">
        <v>33.4</v>
      </c>
      <c r="BB58" s="315">
        <v>93.9</v>
      </c>
      <c r="BC58" s="315">
        <v>14.1</v>
      </c>
      <c r="BD58" s="315">
        <v>60.6</v>
      </c>
      <c r="BE58" s="315">
        <v>12.5</v>
      </c>
      <c r="BF58" s="315">
        <v>1.73</v>
      </c>
      <c r="BG58" s="315">
        <v>11.8</v>
      </c>
      <c r="BH58" s="315">
        <v>1.75</v>
      </c>
      <c r="BI58" s="315">
        <v>10.4</v>
      </c>
      <c r="BJ58" s="315">
        <v>1.99</v>
      </c>
      <c r="BK58" s="315">
        <v>5.57</v>
      </c>
      <c r="BL58" s="316">
        <v>0.81899999999999995</v>
      </c>
      <c r="BM58" s="316">
        <v>4.9400000000000004</v>
      </c>
      <c r="BN58" s="316">
        <v>0.66900000000000004</v>
      </c>
      <c r="BO58" s="317" t="s">
        <v>137</v>
      </c>
      <c r="BP58" s="317">
        <v>1.77</v>
      </c>
      <c r="BQ58" s="317">
        <v>0.43</v>
      </c>
      <c r="BR58" s="317">
        <v>9</v>
      </c>
      <c r="BS58" s="317">
        <v>0.37</v>
      </c>
      <c r="BT58" s="317">
        <v>92</v>
      </c>
      <c r="BU58" s="317">
        <v>2.4</v>
      </c>
      <c r="BV58" s="317">
        <v>2.2999999999999998</v>
      </c>
      <c r="BW58" s="317">
        <v>4</v>
      </c>
      <c r="BX58" s="317" t="s">
        <v>132</v>
      </c>
      <c r="BY58" s="317" t="s">
        <v>130</v>
      </c>
      <c r="BZ58" s="317"/>
      <c r="CA58" s="317"/>
      <c r="CB58" s="317"/>
      <c r="CC58" s="317" t="s">
        <v>131</v>
      </c>
      <c r="CD58" s="317"/>
      <c r="CE58" s="317"/>
      <c r="CF58" s="317"/>
      <c r="CG58" s="317"/>
      <c r="CH58" s="317">
        <v>0.15</v>
      </c>
      <c r="CI58" s="11">
        <f t="shared" si="127"/>
        <v>42.8644041536228</v>
      </c>
      <c r="CJ58" s="10">
        <f t="shared" si="128"/>
        <v>0.51567344750303046</v>
      </c>
      <c r="CK58" s="10">
        <f t="shared" si="129"/>
        <v>0.39255014326647564</v>
      </c>
      <c r="CL58" s="4">
        <f t="shared" si="130"/>
        <v>4.8600000000000003</v>
      </c>
      <c r="CM58" s="4">
        <f t="shared" si="131"/>
        <v>4.58984375</v>
      </c>
      <c r="CN58" s="4">
        <f t="shared" si="132"/>
        <v>1.796875</v>
      </c>
      <c r="CO58" s="4">
        <f t="shared" si="133"/>
        <v>24.324324324324326</v>
      </c>
      <c r="CP58" s="4">
        <f t="shared" si="134"/>
        <v>4.5930063718204952</v>
      </c>
      <c r="CQ58" s="4">
        <f t="shared" si="135"/>
        <v>6.7611336032388651</v>
      </c>
      <c r="CR58" s="4">
        <f t="shared" si="136"/>
        <v>2.1052631578947367</v>
      </c>
      <c r="CS58" s="10">
        <f t="shared" si="137"/>
        <v>0.43420927298552708</v>
      </c>
      <c r="CT58" s="4">
        <f t="shared" si="138"/>
        <v>8.2333333333333325</v>
      </c>
      <c r="CU58" s="40">
        <f t="shared" si="139"/>
        <v>779.52431093659868</v>
      </c>
      <c r="CV58" s="40"/>
      <c r="CW58" s="4">
        <f t="shared" si="140"/>
        <v>54.826893946483757</v>
      </c>
      <c r="CX58" s="4">
        <f t="shared" si="141"/>
        <v>4.5765785579718345</v>
      </c>
      <c r="CY58" s="11">
        <f t="shared" si="142"/>
        <v>562.74098680050542</v>
      </c>
      <c r="CZ58" s="11">
        <f t="shared" si="143"/>
        <v>437.6111524380832</v>
      </c>
      <c r="DA58" s="10"/>
      <c r="DB58" s="10"/>
      <c r="DC58" s="10"/>
      <c r="DD58" s="4"/>
      <c r="DE58" s="31"/>
      <c r="DF58" s="31"/>
      <c r="DG58" s="32"/>
      <c r="DH58" s="32"/>
      <c r="DI58" s="11"/>
      <c r="DJ58" s="11"/>
      <c r="DK58" s="317"/>
      <c r="DL58" s="317"/>
      <c r="DM58" s="317"/>
      <c r="DN58" s="317"/>
      <c r="DO58" s="317"/>
      <c r="DP58" s="317"/>
    </row>
    <row r="59" spans="1:120" s="3" customFormat="1" ht="14" customHeight="1">
      <c r="A59" s="314" t="s">
        <v>150</v>
      </c>
      <c r="B59" s="3" t="s">
        <v>92</v>
      </c>
      <c r="C59" s="3" t="s">
        <v>56</v>
      </c>
      <c r="D59" s="315">
        <v>54.17</v>
      </c>
      <c r="E59" s="316">
        <v>1.069</v>
      </c>
      <c r="F59" s="315">
        <v>16.22</v>
      </c>
      <c r="G59" s="315">
        <v>8.6490000000000009</v>
      </c>
      <c r="H59" s="316">
        <v>0.128</v>
      </c>
      <c r="I59" s="315">
        <v>5.51</v>
      </c>
      <c r="J59" s="315">
        <v>7.06</v>
      </c>
      <c r="K59" s="316">
        <v>5.13</v>
      </c>
      <c r="L59" s="316">
        <v>0.66</v>
      </c>
      <c r="M59" s="316">
        <v>0.11</v>
      </c>
      <c r="N59" s="317"/>
      <c r="O59" s="317"/>
      <c r="P59" s="317"/>
      <c r="Q59" s="317"/>
      <c r="R59" s="4">
        <f t="shared" si="111"/>
        <v>54.872366288492707</v>
      </c>
      <c r="S59" s="10">
        <f t="shared" si="112"/>
        <v>1.0852791878172587</v>
      </c>
      <c r="T59" s="4">
        <f t="shared" si="113"/>
        <v>16.430307941653162</v>
      </c>
      <c r="U59" s="4">
        <f t="shared" si="114"/>
        <v>8.7611426256077802</v>
      </c>
      <c r="V59" s="10">
        <f t="shared" si="115"/>
        <v>0.12965964343598055</v>
      </c>
      <c r="W59" s="10">
        <f t="shared" si="116"/>
        <v>5.5814424635332252</v>
      </c>
      <c r="X59" s="10">
        <f t="shared" si="117"/>
        <v>7.1515397082658021</v>
      </c>
      <c r="Y59" s="10">
        <f t="shared" si="118"/>
        <v>5.1965153970826581</v>
      </c>
      <c r="Z59" s="10">
        <f t="shared" si="119"/>
        <v>0.66855753646677474</v>
      </c>
      <c r="AA59" s="10">
        <f t="shared" si="120"/>
        <v>0.11142625607779579</v>
      </c>
      <c r="AB59" s="10">
        <f t="shared" si="121"/>
        <v>0</v>
      </c>
      <c r="AC59" s="10">
        <f t="shared" si="122"/>
        <v>0</v>
      </c>
      <c r="AD59" s="10">
        <f t="shared" si="123"/>
        <v>0</v>
      </c>
      <c r="AE59" s="10"/>
      <c r="AF59" s="317"/>
      <c r="AG59" s="317"/>
      <c r="AH59" s="316">
        <v>2.08</v>
      </c>
      <c r="AI59" s="315">
        <v>100.8</v>
      </c>
      <c r="AJ59" s="11">
        <f t="shared" si="124"/>
        <v>5478.9808917197461</v>
      </c>
      <c r="AK59" s="11">
        <f t="shared" si="125"/>
        <v>6406.8793118559606</v>
      </c>
      <c r="AL59" s="11">
        <f t="shared" si="126"/>
        <v>480.01972664506127</v>
      </c>
      <c r="AM59" s="317">
        <v>104</v>
      </c>
      <c r="AN59" s="317">
        <v>14</v>
      </c>
      <c r="AO59" s="317">
        <v>24</v>
      </c>
      <c r="AP59" s="317">
        <v>174</v>
      </c>
      <c r="AQ59" s="317">
        <v>123</v>
      </c>
      <c r="AR59" s="317">
        <v>17.399999999999999</v>
      </c>
      <c r="AS59" s="317">
        <v>58</v>
      </c>
      <c r="AT59" s="318">
        <v>6.4</v>
      </c>
      <c r="AU59" s="318">
        <v>63.2</v>
      </c>
      <c r="AV59" s="317">
        <v>19</v>
      </c>
      <c r="AW59" s="317">
        <v>13</v>
      </c>
      <c r="AX59" s="317">
        <v>167</v>
      </c>
      <c r="AY59" s="317">
        <v>38</v>
      </c>
      <c r="AZ59" s="317" t="s">
        <v>133</v>
      </c>
      <c r="BA59" s="315">
        <v>14.9</v>
      </c>
      <c r="BB59" s="315">
        <v>45.2</v>
      </c>
      <c r="BC59" s="315">
        <v>6.88</v>
      </c>
      <c r="BD59" s="315">
        <v>30.5</v>
      </c>
      <c r="BE59" s="315">
        <v>7.44</v>
      </c>
      <c r="BF59" s="315">
        <v>1.54</v>
      </c>
      <c r="BG59" s="315">
        <v>7.25</v>
      </c>
      <c r="BH59" s="315">
        <v>1.26</v>
      </c>
      <c r="BI59" s="315">
        <v>7.68</v>
      </c>
      <c r="BJ59" s="315">
        <v>1.56</v>
      </c>
      <c r="BK59" s="315">
        <v>4.76</v>
      </c>
      <c r="BL59" s="316">
        <v>0.74199999999999999</v>
      </c>
      <c r="BM59" s="316">
        <v>4.57</v>
      </c>
      <c r="BN59" s="316">
        <v>0.63800000000000001</v>
      </c>
      <c r="BO59" s="317" t="s">
        <v>137</v>
      </c>
      <c r="BP59" s="317">
        <v>1.42</v>
      </c>
      <c r="BQ59" s="317">
        <v>0.62</v>
      </c>
      <c r="BR59" s="317">
        <v>7.3</v>
      </c>
      <c r="BS59" s="317">
        <v>0.44</v>
      </c>
      <c r="BT59" s="317">
        <v>137</v>
      </c>
      <c r="BU59" s="317">
        <v>3.3</v>
      </c>
      <c r="BV59" s="317">
        <v>3.2</v>
      </c>
      <c r="BW59" s="317">
        <v>9</v>
      </c>
      <c r="BX59" s="317" t="s">
        <v>132</v>
      </c>
      <c r="BY59" s="317" t="s">
        <v>130</v>
      </c>
      <c r="BZ59" s="317"/>
      <c r="CA59" s="317"/>
      <c r="CB59" s="317"/>
      <c r="CC59" s="317" t="s">
        <v>131</v>
      </c>
      <c r="CD59" s="317"/>
      <c r="CE59" s="317"/>
      <c r="CF59" s="317"/>
      <c r="CG59" s="317"/>
      <c r="CH59" s="317">
        <v>0.06</v>
      </c>
      <c r="CI59" s="11">
        <f t="shared" si="127"/>
        <v>50.538236762857117</v>
      </c>
      <c r="CJ59" s="10">
        <f t="shared" si="128"/>
        <v>0.56142641678465321</v>
      </c>
      <c r="CK59" s="10">
        <f t="shared" si="129"/>
        <v>0.12865497076023394</v>
      </c>
      <c r="CL59" s="4">
        <f t="shared" si="130"/>
        <v>5.79</v>
      </c>
      <c r="CM59" s="4">
        <f t="shared" si="131"/>
        <v>4.3947368421052628</v>
      </c>
      <c r="CN59" s="4">
        <f t="shared" si="132"/>
        <v>3.6052631578947367</v>
      </c>
      <c r="CO59" s="4">
        <f t="shared" si="133"/>
        <v>16.59090909090909</v>
      </c>
      <c r="CP59" s="4">
        <f t="shared" si="134"/>
        <v>2.2148667239102937</v>
      </c>
      <c r="CQ59" s="4">
        <f t="shared" si="135"/>
        <v>3.2603938730853392</v>
      </c>
      <c r="CR59" s="4">
        <f t="shared" si="136"/>
        <v>1.6805251641137855</v>
      </c>
      <c r="CS59" s="10">
        <f t="shared" si="137"/>
        <v>0.63916686230106601</v>
      </c>
      <c r="CT59" s="4">
        <f t="shared" si="138"/>
        <v>7.25</v>
      </c>
      <c r="CU59" s="40">
        <f t="shared" si="139"/>
        <v>720.71527065211035</v>
      </c>
      <c r="CV59" s="40"/>
      <c r="CW59" s="4">
        <f t="shared" si="140"/>
        <v>52.202707406823478</v>
      </c>
      <c r="CX59" s="4">
        <f t="shared" si="141"/>
        <v>3.4690042959289276</v>
      </c>
      <c r="CY59" s="11">
        <f t="shared" si="142"/>
        <v>642.19778978107854</v>
      </c>
      <c r="CZ59" s="11">
        <f t="shared" si="143"/>
        <v>533.0137703910882</v>
      </c>
      <c r="DA59" s="4"/>
      <c r="DB59" s="10"/>
      <c r="DC59" s="10"/>
      <c r="DD59" s="4"/>
      <c r="DE59" s="31"/>
      <c r="DF59" s="31"/>
      <c r="DG59" s="32"/>
      <c r="DH59" s="32"/>
      <c r="DI59" s="11"/>
      <c r="DJ59" s="11"/>
      <c r="DK59" s="317"/>
      <c r="DL59" s="317"/>
      <c r="DM59" s="317"/>
      <c r="DN59" s="317"/>
      <c r="DO59" s="317"/>
      <c r="DP59" s="317"/>
    </row>
    <row r="60" spans="1:120" s="3" customFormat="1" ht="14" customHeight="1">
      <c r="A60" s="314" t="s">
        <v>151</v>
      </c>
      <c r="B60" s="3" t="s">
        <v>92</v>
      </c>
      <c r="C60" s="3" t="s">
        <v>56</v>
      </c>
      <c r="D60" s="315">
        <v>59.29</v>
      </c>
      <c r="E60" s="316">
        <v>1.1890000000000001</v>
      </c>
      <c r="F60" s="315">
        <v>14.54</v>
      </c>
      <c r="G60" s="315">
        <v>6.6449999999999996</v>
      </c>
      <c r="H60" s="316">
        <v>9.8000000000000004E-2</v>
      </c>
      <c r="I60" s="315">
        <v>3.97</v>
      </c>
      <c r="J60" s="315">
        <v>8.07</v>
      </c>
      <c r="K60" s="316">
        <v>3.97</v>
      </c>
      <c r="L60" s="316">
        <v>0.5</v>
      </c>
      <c r="M60" s="316">
        <v>0.15</v>
      </c>
      <c r="N60" s="317"/>
      <c r="O60" s="317"/>
      <c r="P60" s="317"/>
      <c r="Q60" s="317"/>
      <c r="R60" s="4">
        <f t="shared" si="111"/>
        <v>60.229581470946769</v>
      </c>
      <c r="S60" s="10">
        <f t="shared" si="112"/>
        <v>1.2071065989847716</v>
      </c>
      <c r="T60" s="4">
        <f t="shared" si="113"/>
        <v>14.770418529053231</v>
      </c>
      <c r="U60" s="4">
        <f t="shared" si="114"/>
        <v>6.7503047541649739</v>
      </c>
      <c r="V60" s="10">
        <f t="shared" si="115"/>
        <v>9.9553027224705409E-2</v>
      </c>
      <c r="W60" s="10">
        <f t="shared" si="116"/>
        <v>4.0329134498171477</v>
      </c>
      <c r="X60" s="10">
        <f t="shared" si="117"/>
        <v>8.197887037789517</v>
      </c>
      <c r="Y60" s="10">
        <f t="shared" si="118"/>
        <v>4.0329134498171477</v>
      </c>
      <c r="Z60" s="10">
        <f t="shared" si="119"/>
        <v>0.50792360828931327</v>
      </c>
      <c r="AA60" s="10">
        <f t="shared" si="120"/>
        <v>0.15237708248679399</v>
      </c>
      <c r="AB60" s="10">
        <f t="shared" si="121"/>
        <v>0</v>
      </c>
      <c r="AC60" s="10">
        <f t="shared" si="122"/>
        <v>0</v>
      </c>
      <c r="AD60" s="10">
        <f t="shared" si="123"/>
        <v>0</v>
      </c>
      <c r="AE60" s="10"/>
      <c r="AF60" s="317"/>
      <c r="AG60" s="317"/>
      <c r="AH60" s="316">
        <v>2.2599999999999998</v>
      </c>
      <c r="AI60" s="315">
        <v>100.7</v>
      </c>
      <c r="AJ60" s="11">
        <f t="shared" si="124"/>
        <v>4150.7430997876863</v>
      </c>
      <c r="AK60" s="11">
        <f t="shared" si="125"/>
        <v>7126.0799829716916</v>
      </c>
      <c r="AL60" s="11">
        <f t="shared" si="126"/>
        <v>654.57235451599263</v>
      </c>
      <c r="AM60" s="317">
        <v>80</v>
      </c>
      <c r="AN60" s="317">
        <v>22</v>
      </c>
      <c r="AO60" s="317">
        <v>17</v>
      </c>
      <c r="AP60" s="317">
        <v>128</v>
      </c>
      <c r="AQ60" s="317">
        <v>87</v>
      </c>
      <c r="AR60" s="317">
        <v>16.100000000000001</v>
      </c>
      <c r="AS60" s="317">
        <v>58</v>
      </c>
      <c r="AT60" s="318">
        <v>136</v>
      </c>
      <c r="AU60" s="318">
        <v>62.1</v>
      </c>
      <c r="AV60" s="317">
        <v>19</v>
      </c>
      <c r="AW60" s="317">
        <v>12</v>
      </c>
      <c r="AX60" s="317">
        <v>251</v>
      </c>
      <c r="AY60" s="317">
        <v>36.700000000000003</v>
      </c>
      <c r="AZ60" s="317">
        <v>0.3</v>
      </c>
      <c r="BA60" s="315">
        <v>17.2</v>
      </c>
      <c r="BB60" s="315">
        <v>51.3</v>
      </c>
      <c r="BC60" s="315">
        <v>7.89</v>
      </c>
      <c r="BD60" s="315">
        <v>35.700000000000003</v>
      </c>
      <c r="BE60" s="315">
        <v>8.0399999999999991</v>
      </c>
      <c r="BF60" s="315">
        <v>1.75</v>
      </c>
      <c r="BG60" s="315">
        <v>8.3000000000000007</v>
      </c>
      <c r="BH60" s="315">
        <v>1.25</v>
      </c>
      <c r="BI60" s="315">
        <v>7.71</v>
      </c>
      <c r="BJ60" s="315">
        <v>1.43</v>
      </c>
      <c r="BK60" s="315">
        <v>4.43</v>
      </c>
      <c r="BL60" s="316">
        <v>0.69399999999999995</v>
      </c>
      <c r="BM60" s="316">
        <v>4.28</v>
      </c>
      <c r="BN60" s="316">
        <v>0.59</v>
      </c>
      <c r="BO60" s="317">
        <v>2</v>
      </c>
      <c r="BP60" s="317">
        <v>3.01</v>
      </c>
      <c r="BQ60" s="317">
        <v>0.81</v>
      </c>
      <c r="BR60" s="317">
        <v>9.8000000000000007</v>
      </c>
      <c r="BS60" s="317">
        <v>0.66</v>
      </c>
      <c r="BT60" s="317">
        <v>188</v>
      </c>
      <c r="BU60" s="317">
        <v>5</v>
      </c>
      <c r="BV60" s="317">
        <v>2.8</v>
      </c>
      <c r="BW60" s="317">
        <v>8</v>
      </c>
      <c r="BX60" s="317" t="s">
        <v>132</v>
      </c>
      <c r="BY60" s="317" t="s">
        <v>130</v>
      </c>
      <c r="BZ60" s="317"/>
      <c r="CA60" s="317"/>
      <c r="CB60" s="317"/>
      <c r="CC60" s="317" t="s">
        <v>131</v>
      </c>
      <c r="CD60" s="317"/>
      <c r="CE60" s="317"/>
      <c r="CF60" s="317"/>
      <c r="CG60" s="317"/>
      <c r="CH60" s="317">
        <v>0.05</v>
      </c>
      <c r="CI60" s="11">
        <f t="shared" si="127"/>
        <v>48.932931766240586</v>
      </c>
      <c r="CJ60" s="10">
        <f t="shared" si="128"/>
        <v>0.50894996296483686</v>
      </c>
      <c r="CK60" s="10">
        <f t="shared" si="129"/>
        <v>0.12594458438287154</v>
      </c>
      <c r="CL60" s="4">
        <f t="shared" si="130"/>
        <v>4.4700000000000006</v>
      </c>
      <c r="CM60" s="4">
        <f t="shared" si="131"/>
        <v>6.839237057220708</v>
      </c>
      <c r="CN60" s="4">
        <f t="shared" si="132"/>
        <v>5.1226158038147132</v>
      </c>
      <c r="CO60" s="4">
        <f t="shared" si="133"/>
        <v>14.84848484848485</v>
      </c>
      <c r="CP60" s="4">
        <f t="shared" si="134"/>
        <v>2.7299972396387866</v>
      </c>
      <c r="CQ60" s="4">
        <f t="shared" si="135"/>
        <v>4.0186915887850461</v>
      </c>
      <c r="CR60" s="4">
        <f t="shared" si="136"/>
        <v>1.8014018691588785</v>
      </c>
      <c r="CS60" s="10">
        <f t="shared" si="137"/>
        <v>0.65301022132122299</v>
      </c>
      <c r="CT60" s="4">
        <f t="shared" si="138"/>
        <v>7.5294117647058822</v>
      </c>
      <c r="CU60" s="40">
        <f t="shared" si="139"/>
        <v>824.81492524838734</v>
      </c>
      <c r="CV60" s="40"/>
      <c r="CW60" s="4">
        <f t="shared" si="140"/>
        <v>51.320961314406787</v>
      </c>
      <c r="CX60" s="4">
        <f t="shared" si="141"/>
        <v>3.5842801965513518</v>
      </c>
      <c r="CY60" s="11">
        <f t="shared" si="142"/>
        <v>656.6113979091507</v>
      </c>
      <c r="CZ60" s="11">
        <f t="shared" si="143"/>
        <v>544.93698903346672</v>
      </c>
      <c r="DA60" s="4"/>
      <c r="DB60" s="10"/>
      <c r="DC60" s="10"/>
      <c r="DD60" s="4"/>
      <c r="DE60" s="31"/>
      <c r="DF60" s="31"/>
      <c r="DG60" s="32"/>
      <c r="DH60" s="32"/>
      <c r="DI60" s="11"/>
      <c r="DJ60" s="11"/>
      <c r="DK60" s="317"/>
      <c r="DL60" s="317"/>
      <c r="DM60" s="317"/>
      <c r="DN60" s="317"/>
      <c r="DO60" s="317"/>
      <c r="DP60" s="317"/>
    </row>
    <row r="61" spans="1:120" s="3" customFormat="1" ht="14" customHeight="1">
      <c r="A61" s="3" t="s">
        <v>152</v>
      </c>
      <c r="B61" s="3" t="s">
        <v>92</v>
      </c>
      <c r="C61" s="3" t="s">
        <v>56</v>
      </c>
      <c r="D61" s="4">
        <v>52.19</v>
      </c>
      <c r="E61" s="10">
        <v>1.53</v>
      </c>
      <c r="F61" s="4">
        <v>15.06</v>
      </c>
      <c r="G61" s="315">
        <v>10.434000000000001</v>
      </c>
      <c r="H61" s="10">
        <v>0.154</v>
      </c>
      <c r="I61" s="4">
        <v>6</v>
      </c>
      <c r="J61" s="4">
        <v>9.34</v>
      </c>
      <c r="K61" s="10">
        <v>3.81</v>
      </c>
      <c r="L61" s="10">
        <v>0.24</v>
      </c>
      <c r="M61" s="10">
        <v>0.31</v>
      </c>
      <c r="N61" s="9"/>
      <c r="O61" s="9"/>
      <c r="P61" s="9"/>
      <c r="Q61" s="9"/>
      <c r="R61" s="4">
        <f t="shared" si="111"/>
        <v>52.653349475383379</v>
      </c>
      <c r="S61" s="10">
        <f t="shared" si="112"/>
        <v>1.5532994923857868</v>
      </c>
      <c r="T61" s="4">
        <f t="shared" si="113"/>
        <v>15.193704600484264</v>
      </c>
      <c r="U61" s="4">
        <f t="shared" si="114"/>
        <v>10.526634382566588</v>
      </c>
      <c r="V61" s="10">
        <f t="shared" si="115"/>
        <v>0.15536723163841809</v>
      </c>
      <c r="W61" s="10">
        <f t="shared" si="116"/>
        <v>6.0532687651331729</v>
      </c>
      <c r="X61" s="10">
        <f t="shared" si="117"/>
        <v>9.422921711057306</v>
      </c>
      <c r="Y61" s="10">
        <f t="shared" si="118"/>
        <v>3.8438256658595646</v>
      </c>
      <c r="Z61" s="10">
        <f t="shared" si="119"/>
        <v>0.24213075060532691</v>
      </c>
      <c r="AA61" s="10">
        <f t="shared" si="120"/>
        <v>0.31275221953188059</v>
      </c>
      <c r="AB61" s="10">
        <f t="shared" si="121"/>
        <v>0</v>
      </c>
      <c r="AC61" s="10">
        <f t="shared" si="122"/>
        <v>0</v>
      </c>
      <c r="AD61" s="10">
        <f t="shared" si="123"/>
        <v>0</v>
      </c>
      <c r="AE61" s="10"/>
      <c r="AF61" s="9"/>
      <c r="AG61" s="9"/>
      <c r="AH61" s="10">
        <v>1.68</v>
      </c>
      <c r="AI61" s="4">
        <v>100.8</v>
      </c>
      <c r="AJ61" s="11">
        <f t="shared" si="124"/>
        <v>1992.3566878980891</v>
      </c>
      <c r="AK61" s="11">
        <f t="shared" si="125"/>
        <v>9169.8085567255566</v>
      </c>
      <c r="AL61" s="11">
        <f t="shared" si="126"/>
        <v>1352.7828659997183</v>
      </c>
      <c r="AM61" s="9">
        <v>33</v>
      </c>
      <c r="AN61" s="9">
        <v>15</v>
      </c>
      <c r="AO61" s="9">
        <v>30</v>
      </c>
      <c r="AP61" s="9">
        <v>220</v>
      </c>
      <c r="AQ61" s="9">
        <v>122</v>
      </c>
      <c r="AR61" s="9">
        <v>25.2</v>
      </c>
      <c r="AS61" s="9">
        <v>64</v>
      </c>
      <c r="AT61" s="11">
        <v>32.799999999999997</v>
      </c>
      <c r="AU61" s="11">
        <v>79.3</v>
      </c>
      <c r="AV61" s="9">
        <v>20</v>
      </c>
      <c r="AW61" s="9">
        <v>5</v>
      </c>
      <c r="AX61" s="9">
        <v>266</v>
      </c>
      <c r="AY61" s="9">
        <v>33.1</v>
      </c>
      <c r="AZ61" s="9">
        <v>0.2</v>
      </c>
      <c r="BA61" s="4">
        <v>21.4</v>
      </c>
      <c r="BB61" s="4">
        <v>59.2</v>
      </c>
      <c r="BC61" s="4">
        <v>8.67</v>
      </c>
      <c r="BD61" s="4">
        <v>35.1</v>
      </c>
      <c r="BE61" s="4">
        <v>7.13</v>
      </c>
      <c r="BF61" s="4">
        <v>1.69</v>
      </c>
      <c r="BG61" s="4">
        <v>6.94</v>
      </c>
      <c r="BH61" s="4">
        <v>1.02</v>
      </c>
      <c r="BI61" s="4">
        <v>5.78</v>
      </c>
      <c r="BJ61" s="4">
        <v>1.17</v>
      </c>
      <c r="BK61" s="4">
        <v>3.36</v>
      </c>
      <c r="BL61" s="10">
        <v>0.51100000000000001</v>
      </c>
      <c r="BM61" s="10">
        <v>3.25</v>
      </c>
      <c r="BN61" s="10">
        <v>0.48399999999999999</v>
      </c>
      <c r="BO61" s="9">
        <v>2</v>
      </c>
      <c r="BP61" s="9">
        <v>2.63</v>
      </c>
      <c r="BQ61" s="9">
        <v>0.82</v>
      </c>
      <c r="BR61" s="9">
        <v>8.3000000000000007</v>
      </c>
      <c r="BS61" s="9">
        <v>0.47</v>
      </c>
      <c r="BT61" s="9">
        <v>133</v>
      </c>
      <c r="BU61" s="9">
        <v>3.2</v>
      </c>
      <c r="BV61" s="9">
        <v>2.5</v>
      </c>
      <c r="BW61" s="9">
        <v>9</v>
      </c>
      <c r="BX61" s="9" t="s">
        <v>132</v>
      </c>
      <c r="BY61" s="9" t="s">
        <v>130</v>
      </c>
      <c r="BZ61" s="9"/>
      <c r="CA61" s="9"/>
      <c r="CB61" s="9"/>
      <c r="CC61" s="9" t="s">
        <v>131</v>
      </c>
      <c r="CD61" s="9"/>
      <c r="CE61" s="9"/>
      <c r="CF61" s="9"/>
      <c r="CG61" s="9"/>
      <c r="CH61" s="9" t="s">
        <v>135</v>
      </c>
      <c r="CI61" s="11">
        <f t="shared" si="127"/>
        <v>47.978581160609721</v>
      </c>
      <c r="CJ61" s="10">
        <f t="shared" si="128"/>
        <v>0.48758763149467588</v>
      </c>
      <c r="CK61" s="10">
        <f t="shared" si="129"/>
        <v>6.2992125984251968E-2</v>
      </c>
      <c r="CL61" s="4">
        <f t="shared" si="130"/>
        <v>4.05</v>
      </c>
      <c r="CM61" s="4">
        <f t="shared" si="131"/>
        <v>8.0362537764350446</v>
      </c>
      <c r="CN61" s="4">
        <f t="shared" si="132"/>
        <v>4.0181268882175223</v>
      </c>
      <c r="CO61" s="4">
        <f t="shared" si="133"/>
        <v>17.659574468085108</v>
      </c>
      <c r="CP61" s="4">
        <f t="shared" si="134"/>
        <v>4.4730931515741634</v>
      </c>
      <c r="CQ61" s="4">
        <f t="shared" si="135"/>
        <v>6.5846153846153843</v>
      </c>
      <c r="CR61" s="4">
        <f t="shared" si="136"/>
        <v>1.7784615384615385</v>
      </c>
      <c r="CS61" s="10">
        <f t="shared" si="137"/>
        <v>0.73233738595038689</v>
      </c>
      <c r="CT61" s="4">
        <f t="shared" si="138"/>
        <v>7.333333333333333</v>
      </c>
      <c r="CU61" s="40">
        <f t="shared" si="139"/>
        <v>811.44219350825881</v>
      </c>
      <c r="CV61" s="40"/>
      <c r="CW61" s="4">
        <f t="shared" si="140"/>
        <v>54.097902689017396</v>
      </c>
      <c r="CX61" s="4">
        <f t="shared" si="141"/>
        <v>4.5559789852614552</v>
      </c>
      <c r="CY61" s="11">
        <f t="shared" si="142"/>
        <v>584.18858013753857</v>
      </c>
      <c r="CZ61" s="11">
        <f t="shared" si="143"/>
        <v>457.78211045112823</v>
      </c>
      <c r="DA61" s="10"/>
      <c r="DB61" s="10"/>
      <c r="DC61" s="10"/>
      <c r="DD61" s="4"/>
      <c r="DE61" s="31"/>
      <c r="DF61" s="31"/>
      <c r="DG61" s="32"/>
      <c r="DH61" s="32"/>
      <c r="DI61" s="11"/>
      <c r="DJ61" s="11"/>
      <c r="DK61" s="9"/>
      <c r="DL61" s="9"/>
      <c r="DM61" s="9"/>
      <c r="DN61" s="9"/>
      <c r="DO61" s="9"/>
      <c r="DP61" s="9"/>
    </row>
    <row r="62" spans="1:120" s="3" customFormat="1" ht="14" customHeight="1">
      <c r="A62" s="3" t="s">
        <v>153</v>
      </c>
      <c r="B62" s="3" t="s">
        <v>92</v>
      </c>
      <c r="C62" s="3" t="s">
        <v>56</v>
      </c>
      <c r="D62" s="4">
        <v>60.17</v>
      </c>
      <c r="E62" s="10">
        <v>1.885</v>
      </c>
      <c r="F62" s="4">
        <v>15.33</v>
      </c>
      <c r="G62" s="315">
        <v>5.9010000000000007</v>
      </c>
      <c r="H62" s="10">
        <v>8.1000000000000003E-2</v>
      </c>
      <c r="I62" s="4">
        <v>2.0499999999999998</v>
      </c>
      <c r="J62" s="4">
        <v>7.13</v>
      </c>
      <c r="K62" s="10">
        <v>4.8099999999999996</v>
      </c>
      <c r="L62" s="10">
        <v>0.59</v>
      </c>
      <c r="M62" s="10">
        <v>0.25</v>
      </c>
      <c r="N62" s="9"/>
      <c r="O62" s="9"/>
      <c r="P62" s="9"/>
      <c r="Q62" s="9"/>
      <c r="R62" s="4">
        <f t="shared" si="111"/>
        <v>61.266673454841658</v>
      </c>
      <c r="S62" s="10">
        <f t="shared" si="112"/>
        <v>1.9137055837563453</v>
      </c>
      <c r="T62" s="4">
        <f t="shared" si="113"/>
        <v>15.609408410548824</v>
      </c>
      <c r="U62" s="4">
        <f t="shared" si="114"/>
        <v>6.008553100498931</v>
      </c>
      <c r="V62" s="10">
        <f t="shared" si="115"/>
        <v>8.2476326239690451E-2</v>
      </c>
      <c r="W62" s="10">
        <f t="shared" si="116"/>
        <v>2.087363812239079</v>
      </c>
      <c r="X62" s="10">
        <f t="shared" si="117"/>
        <v>7.259953161592505</v>
      </c>
      <c r="Y62" s="10">
        <f t="shared" si="118"/>
        <v>4.8976682618877909</v>
      </c>
      <c r="Z62" s="10">
        <f t="shared" si="119"/>
        <v>0.60075348742490575</v>
      </c>
      <c r="AA62" s="10">
        <f t="shared" si="120"/>
        <v>0.25455656246818043</v>
      </c>
      <c r="AB62" s="10">
        <f t="shared" si="121"/>
        <v>0</v>
      </c>
      <c r="AC62" s="10">
        <f t="shared" si="122"/>
        <v>0</v>
      </c>
      <c r="AD62" s="10">
        <f t="shared" si="123"/>
        <v>0</v>
      </c>
      <c r="AE62" s="10"/>
      <c r="AF62" s="9"/>
      <c r="AG62" s="9"/>
      <c r="AH62" s="10">
        <v>1.99</v>
      </c>
      <c r="AI62" s="4">
        <v>100.2</v>
      </c>
      <c r="AJ62" s="11">
        <f t="shared" si="124"/>
        <v>4897.8768577494693</v>
      </c>
      <c r="AK62" s="11">
        <f t="shared" si="125"/>
        <v>11297.443875442925</v>
      </c>
      <c r="AL62" s="11">
        <f t="shared" si="126"/>
        <v>1090.9539241933212</v>
      </c>
      <c r="AM62" s="9">
        <v>94</v>
      </c>
      <c r="AN62" s="9">
        <v>14</v>
      </c>
      <c r="AO62" s="9">
        <v>18</v>
      </c>
      <c r="AP62" s="9">
        <v>98</v>
      </c>
      <c r="AQ62" s="9">
        <v>19</v>
      </c>
      <c r="AR62" s="9">
        <v>18.3</v>
      </c>
      <c r="AS62" s="9">
        <v>27</v>
      </c>
      <c r="AT62" s="11">
        <v>1280</v>
      </c>
      <c r="AU62" s="11">
        <v>58.2</v>
      </c>
      <c r="AV62" s="9">
        <v>23</v>
      </c>
      <c r="AW62" s="9">
        <v>19</v>
      </c>
      <c r="AX62" s="9">
        <v>267</v>
      </c>
      <c r="AY62" s="9">
        <v>82.2</v>
      </c>
      <c r="AZ62" s="9">
        <v>0.1</v>
      </c>
      <c r="BA62" s="4">
        <v>40.5</v>
      </c>
      <c r="BB62" s="4">
        <v>92.7</v>
      </c>
      <c r="BC62" s="4">
        <v>19.600000000000001</v>
      </c>
      <c r="BD62" s="4">
        <v>86.7</v>
      </c>
      <c r="BE62" s="4">
        <v>20.3</v>
      </c>
      <c r="BF62" s="4">
        <v>3.26</v>
      </c>
      <c r="BG62" s="4">
        <v>17.100000000000001</v>
      </c>
      <c r="BH62" s="4">
        <v>2.72</v>
      </c>
      <c r="BI62" s="4">
        <v>16.399999999999999</v>
      </c>
      <c r="BJ62" s="4">
        <v>3.18</v>
      </c>
      <c r="BK62" s="4">
        <v>8.77</v>
      </c>
      <c r="BL62" s="10">
        <v>1.43</v>
      </c>
      <c r="BM62" s="10">
        <v>8.57</v>
      </c>
      <c r="BN62" s="10">
        <v>1.23</v>
      </c>
      <c r="BO62" s="9">
        <v>4</v>
      </c>
      <c r="BP62" s="9">
        <v>3.96</v>
      </c>
      <c r="BQ62" s="9">
        <v>2.12</v>
      </c>
      <c r="BR62" s="9">
        <v>18</v>
      </c>
      <c r="BS62" s="9">
        <v>0.91</v>
      </c>
      <c r="BT62" s="9">
        <v>187</v>
      </c>
      <c r="BU62" s="9">
        <v>5</v>
      </c>
      <c r="BV62" s="9">
        <v>3.6</v>
      </c>
      <c r="BW62" s="9">
        <v>20</v>
      </c>
      <c r="BX62" s="9">
        <v>0.8</v>
      </c>
      <c r="BY62" s="9" t="s">
        <v>130</v>
      </c>
      <c r="BZ62" s="9"/>
      <c r="CA62" s="9"/>
      <c r="CB62" s="9"/>
      <c r="CC62" s="9" t="s">
        <v>131</v>
      </c>
      <c r="CD62" s="9"/>
      <c r="CE62" s="9"/>
      <c r="CF62" s="9"/>
      <c r="CG62" s="9"/>
      <c r="CH62" s="9" t="s">
        <v>135</v>
      </c>
      <c r="CI62" s="11">
        <f t="shared" si="127"/>
        <v>35.78121696546053</v>
      </c>
      <c r="CJ62" s="10">
        <f t="shared" si="128"/>
        <v>0.54233365139390688</v>
      </c>
      <c r="CK62" s="10">
        <f t="shared" si="129"/>
        <v>0.12266112266112267</v>
      </c>
      <c r="CL62" s="4">
        <f t="shared" si="130"/>
        <v>5.3999999999999995</v>
      </c>
      <c r="CM62" s="4">
        <f t="shared" si="131"/>
        <v>3.2481751824817517</v>
      </c>
      <c r="CN62" s="4">
        <f t="shared" si="132"/>
        <v>2.2749391727493915</v>
      </c>
      <c r="CO62" s="4">
        <f t="shared" si="133"/>
        <v>19.780219780219781</v>
      </c>
      <c r="CP62" s="4">
        <f t="shared" si="134"/>
        <v>3.2103451841129642</v>
      </c>
      <c r="CQ62" s="4">
        <f t="shared" si="135"/>
        <v>4.7257876312718787</v>
      </c>
      <c r="CR62" s="4">
        <f t="shared" si="136"/>
        <v>1.9136522753792296</v>
      </c>
      <c r="CS62" s="10">
        <f t="shared" si="137"/>
        <v>0.53336010420331592</v>
      </c>
      <c r="CT62" s="4">
        <f t="shared" si="138"/>
        <v>5.4444444444444446</v>
      </c>
      <c r="CU62" s="40">
        <f t="shared" si="139"/>
        <v>895.82737152004222</v>
      </c>
      <c r="CV62" s="40"/>
      <c r="CW62" s="4">
        <f t="shared" si="140"/>
        <v>49.43663261878055</v>
      </c>
      <c r="CX62" s="4">
        <f t="shared" si="141"/>
        <v>3.0869663413214861</v>
      </c>
      <c r="CY62" s="11">
        <f t="shared" si="142"/>
        <v>685.44864620262865</v>
      </c>
      <c r="CZ62" s="11">
        <f t="shared" si="143"/>
        <v>584.61571476859626</v>
      </c>
      <c r="DA62" s="10"/>
      <c r="DB62" s="10"/>
      <c r="DC62" s="10"/>
      <c r="DD62" s="4"/>
      <c r="DE62" s="31"/>
      <c r="DF62" s="31"/>
      <c r="DG62" s="32"/>
      <c r="DH62" s="32"/>
      <c r="DI62" s="11"/>
      <c r="DJ62" s="11"/>
      <c r="DK62" s="9"/>
      <c r="DL62" s="9"/>
      <c r="DM62" s="9"/>
      <c r="DN62" s="9"/>
      <c r="DO62" s="9"/>
      <c r="DP62" s="9"/>
    </row>
    <row r="63" spans="1:120" s="3" customFormat="1" ht="14" customHeight="1">
      <c r="A63" s="3" t="s">
        <v>154</v>
      </c>
      <c r="B63" s="3" t="s">
        <v>92</v>
      </c>
      <c r="C63" s="3" t="s">
        <v>57</v>
      </c>
      <c r="D63" s="4">
        <v>61.95</v>
      </c>
      <c r="E63" s="10">
        <v>0.57299999999999995</v>
      </c>
      <c r="F63" s="4">
        <v>15.28</v>
      </c>
      <c r="G63" s="315">
        <v>6.3690000000000007</v>
      </c>
      <c r="H63" s="10">
        <v>9.2999999999999999E-2</v>
      </c>
      <c r="I63" s="9">
        <v>2.93</v>
      </c>
      <c r="J63" s="4">
        <v>5.82</v>
      </c>
      <c r="K63" s="10">
        <v>3.48</v>
      </c>
      <c r="L63" s="10">
        <v>1.79</v>
      </c>
      <c r="M63" s="10">
        <v>0.1</v>
      </c>
      <c r="N63" s="9"/>
      <c r="O63" s="9"/>
      <c r="P63" s="9"/>
      <c r="Q63" s="9"/>
      <c r="R63" s="4">
        <f t="shared" si="111"/>
        <v>62.976517230863074</v>
      </c>
      <c r="S63" s="10">
        <f t="shared" si="112"/>
        <v>0.58172588832487304</v>
      </c>
      <c r="T63" s="4">
        <f t="shared" si="113"/>
        <v>15.533191013520383</v>
      </c>
      <c r="U63" s="4">
        <f t="shared" si="114"/>
        <v>6.4745349191826795</v>
      </c>
      <c r="V63" s="10">
        <f t="shared" si="115"/>
        <v>9.4541018603232704E-2</v>
      </c>
      <c r="W63" s="10">
        <f t="shared" si="116"/>
        <v>2.9785503710480841</v>
      </c>
      <c r="X63" s="10">
        <f t="shared" si="117"/>
        <v>5.9164379383958527</v>
      </c>
      <c r="Y63" s="10">
        <f t="shared" si="118"/>
        <v>3.5376639219274173</v>
      </c>
      <c r="Z63" s="10">
        <f t="shared" si="119"/>
        <v>1.8196604655891024</v>
      </c>
      <c r="AA63" s="10">
        <f t="shared" si="120"/>
        <v>0.10165700925078786</v>
      </c>
      <c r="AB63" s="10">
        <f t="shared" si="121"/>
        <v>0</v>
      </c>
      <c r="AC63" s="10">
        <f t="shared" si="122"/>
        <v>0</v>
      </c>
      <c r="AD63" s="10">
        <f t="shared" si="123"/>
        <v>0</v>
      </c>
      <c r="AE63" s="10"/>
      <c r="AF63" s="9"/>
      <c r="AG63" s="9"/>
      <c r="AH63" s="10">
        <v>2.4300000000000002</v>
      </c>
      <c r="AI63" s="4">
        <v>100.8</v>
      </c>
      <c r="AJ63" s="11">
        <f t="shared" si="124"/>
        <v>14859.660297239916</v>
      </c>
      <c r="AK63" s="11">
        <f t="shared" si="125"/>
        <v>3434.18320457761</v>
      </c>
      <c r="AL63" s="11">
        <f t="shared" si="126"/>
        <v>436.3815696773284</v>
      </c>
      <c r="AM63" s="9">
        <v>358</v>
      </c>
      <c r="AN63" s="9">
        <v>20</v>
      </c>
      <c r="AO63" s="9">
        <v>14</v>
      </c>
      <c r="AP63" s="9">
        <v>92</v>
      </c>
      <c r="AQ63" s="9">
        <v>50</v>
      </c>
      <c r="AR63" s="9">
        <v>20.100000000000001</v>
      </c>
      <c r="AS63" s="9">
        <v>62</v>
      </c>
      <c r="AT63" s="11">
        <v>109</v>
      </c>
      <c r="AU63" s="11">
        <v>55.5</v>
      </c>
      <c r="AV63" s="9">
        <v>19</v>
      </c>
      <c r="AW63" s="9">
        <v>75</v>
      </c>
      <c r="AX63" s="9">
        <v>206</v>
      </c>
      <c r="AY63" s="9">
        <v>32.799999999999997</v>
      </c>
      <c r="AZ63" s="9">
        <v>1.5</v>
      </c>
      <c r="BA63" s="4">
        <v>21</v>
      </c>
      <c r="BB63" s="4">
        <v>47.1</v>
      </c>
      <c r="BC63" s="4">
        <v>6.19</v>
      </c>
      <c r="BD63" s="4">
        <v>24.7</v>
      </c>
      <c r="BE63" s="4">
        <v>5.75</v>
      </c>
      <c r="BF63" s="4">
        <v>0.88100000000000001</v>
      </c>
      <c r="BG63" s="4">
        <v>5.99</v>
      </c>
      <c r="BH63" s="4">
        <v>0.96</v>
      </c>
      <c r="BI63" s="4">
        <v>5.64</v>
      </c>
      <c r="BJ63" s="4">
        <v>1.1399999999999999</v>
      </c>
      <c r="BK63" s="4">
        <v>3.31</v>
      </c>
      <c r="BL63" s="10">
        <v>0.51500000000000001</v>
      </c>
      <c r="BM63" s="10">
        <v>3.27</v>
      </c>
      <c r="BN63" s="10">
        <v>0.498</v>
      </c>
      <c r="BO63" s="9">
        <v>7</v>
      </c>
      <c r="BP63" s="9">
        <v>5.25</v>
      </c>
      <c r="BQ63" s="9">
        <v>9.92</v>
      </c>
      <c r="BR63" s="9">
        <v>7.6</v>
      </c>
      <c r="BS63" s="9">
        <v>0.55000000000000004</v>
      </c>
      <c r="BT63" s="9">
        <v>140</v>
      </c>
      <c r="BU63" s="9">
        <v>4.0999999999999996</v>
      </c>
      <c r="BV63" s="9">
        <v>1.8</v>
      </c>
      <c r="BW63" s="9">
        <v>2</v>
      </c>
      <c r="BX63" s="9" t="s">
        <v>132</v>
      </c>
      <c r="BY63" s="9" t="s">
        <v>130</v>
      </c>
      <c r="BZ63" s="9"/>
      <c r="CA63" s="9"/>
      <c r="CB63" s="9"/>
      <c r="CC63" s="9" t="s">
        <v>131</v>
      </c>
      <c r="CD63" s="9"/>
      <c r="CE63" s="9"/>
      <c r="CF63" s="9"/>
      <c r="CG63" s="9"/>
      <c r="CH63" s="9">
        <v>0.28000000000000003</v>
      </c>
      <c r="CI63" s="11">
        <f t="shared" si="127"/>
        <v>42.457245125086487</v>
      </c>
      <c r="CJ63" s="10">
        <f t="shared" si="128"/>
        <v>0.63747927477395439</v>
      </c>
      <c r="CK63" s="10">
        <f t="shared" si="129"/>
        <v>0.51436781609195403</v>
      </c>
      <c r="CL63" s="4">
        <f t="shared" si="130"/>
        <v>5.27</v>
      </c>
      <c r="CM63" s="4">
        <f t="shared" si="131"/>
        <v>6.2804878048780495</v>
      </c>
      <c r="CN63" s="4">
        <f t="shared" si="132"/>
        <v>4.2682926829268295</v>
      </c>
      <c r="CO63" s="4">
        <f t="shared" si="133"/>
        <v>13.818181818181817</v>
      </c>
      <c r="CP63" s="4">
        <f t="shared" si="134"/>
        <v>4.3626369372508034</v>
      </c>
      <c r="CQ63" s="4">
        <f t="shared" si="135"/>
        <v>6.4220183486238529</v>
      </c>
      <c r="CR63" s="4">
        <f t="shared" si="136"/>
        <v>1.7247706422018347</v>
      </c>
      <c r="CS63" s="10">
        <f t="shared" si="137"/>
        <v>0.45759110731723923</v>
      </c>
      <c r="CT63" s="4">
        <f t="shared" si="138"/>
        <v>6.5714285714285712</v>
      </c>
      <c r="CU63" s="40">
        <f t="shared" si="139"/>
        <v>814.91816259705968</v>
      </c>
      <c r="CV63" s="40"/>
      <c r="CW63" s="4">
        <f t="shared" si="140"/>
        <v>50.723776069032681</v>
      </c>
      <c r="CX63" s="4">
        <f t="shared" si="141"/>
        <v>2.6828846096205967</v>
      </c>
      <c r="CY63" s="11">
        <f t="shared" si="142"/>
        <v>689.31098489233989</v>
      </c>
      <c r="CZ63" s="11">
        <f t="shared" si="143"/>
        <v>597.86626699101873</v>
      </c>
      <c r="DA63" s="4"/>
      <c r="DB63" s="10"/>
      <c r="DC63" s="10"/>
      <c r="DD63" s="4"/>
      <c r="DE63" s="31"/>
      <c r="DF63" s="31"/>
      <c r="DG63" s="32"/>
      <c r="DH63" s="32"/>
      <c r="DI63" s="11"/>
      <c r="DJ63" s="11"/>
      <c r="DK63" s="9"/>
      <c r="DL63" s="9"/>
      <c r="DM63" s="9"/>
      <c r="DN63" s="9"/>
      <c r="DO63" s="9"/>
      <c r="DP63" s="9"/>
    </row>
    <row r="64" spans="1:120" s="3" customFormat="1" ht="14" customHeight="1">
      <c r="A64" s="3" t="s">
        <v>155</v>
      </c>
      <c r="B64" s="3" t="s">
        <v>92</v>
      </c>
      <c r="C64" s="3" t="s">
        <v>57</v>
      </c>
      <c r="D64" s="4">
        <v>55.8</v>
      </c>
      <c r="E64" s="10">
        <v>1.2450000000000001</v>
      </c>
      <c r="F64" s="4">
        <v>15.23</v>
      </c>
      <c r="G64" s="315">
        <v>9.5590000000000011</v>
      </c>
      <c r="H64" s="10">
        <v>0.13400000000000001</v>
      </c>
      <c r="I64" s="9">
        <v>4.45</v>
      </c>
      <c r="J64" s="4">
        <v>8.32</v>
      </c>
      <c r="K64" s="10">
        <v>3.63</v>
      </c>
      <c r="L64" s="10">
        <v>0.59</v>
      </c>
      <c r="M64" s="10">
        <v>0.23</v>
      </c>
      <c r="N64" s="9"/>
      <c r="O64" s="9"/>
      <c r="P64" s="9"/>
      <c r="Q64" s="9"/>
      <c r="R64" s="4">
        <f t="shared" si="111"/>
        <v>56.278366111951591</v>
      </c>
      <c r="S64" s="10">
        <f t="shared" si="112"/>
        <v>1.2639593908629443</v>
      </c>
      <c r="T64" s="4">
        <f t="shared" si="113"/>
        <v>15.360564800806859</v>
      </c>
      <c r="U64" s="4">
        <f t="shared" si="114"/>
        <v>9.6409480584972282</v>
      </c>
      <c r="V64" s="10">
        <f t="shared" si="115"/>
        <v>0.13514876449823501</v>
      </c>
      <c r="W64" s="10">
        <f t="shared" si="116"/>
        <v>4.48814926878467</v>
      </c>
      <c r="X64" s="10">
        <f t="shared" si="117"/>
        <v>8.3913262733232479</v>
      </c>
      <c r="Y64" s="10">
        <f t="shared" si="118"/>
        <v>3.6611195158850229</v>
      </c>
      <c r="Z64" s="10">
        <f t="shared" si="119"/>
        <v>0.59505799293998995</v>
      </c>
      <c r="AA64" s="10">
        <f t="shared" si="120"/>
        <v>0.2319717599596571</v>
      </c>
      <c r="AB64" s="10">
        <f t="shared" si="121"/>
        <v>0</v>
      </c>
      <c r="AC64" s="10">
        <f t="shared" si="122"/>
        <v>0</v>
      </c>
      <c r="AD64" s="10">
        <f t="shared" si="123"/>
        <v>0</v>
      </c>
      <c r="AE64" s="10"/>
      <c r="AF64" s="9"/>
      <c r="AG64" s="9"/>
      <c r="AH64" s="10">
        <v>1.65</v>
      </c>
      <c r="AI64" s="4">
        <v>100.8</v>
      </c>
      <c r="AJ64" s="11">
        <f t="shared" si="124"/>
        <v>4897.8768577494693</v>
      </c>
      <c r="AK64" s="11">
        <f t="shared" si="125"/>
        <v>7461.7069628256995</v>
      </c>
      <c r="AL64" s="11">
        <f t="shared" si="126"/>
        <v>1003.6776102578553</v>
      </c>
      <c r="AM64" s="9">
        <v>125</v>
      </c>
      <c r="AN64" s="9">
        <v>17</v>
      </c>
      <c r="AO64" s="9">
        <v>26</v>
      </c>
      <c r="AP64" s="9">
        <v>206</v>
      </c>
      <c r="AQ64" s="9">
        <v>87</v>
      </c>
      <c r="AR64" s="9">
        <v>21.2</v>
      </c>
      <c r="AS64" s="9">
        <v>51</v>
      </c>
      <c r="AT64" s="11">
        <v>52.7</v>
      </c>
      <c r="AU64" s="11">
        <v>66</v>
      </c>
      <c r="AV64" s="9">
        <v>20</v>
      </c>
      <c r="AW64" s="9">
        <v>13</v>
      </c>
      <c r="AX64" s="9">
        <v>244</v>
      </c>
      <c r="AY64" s="9">
        <v>23.3</v>
      </c>
      <c r="AZ64" s="9">
        <v>0.4</v>
      </c>
      <c r="BA64" s="4">
        <v>14.1</v>
      </c>
      <c r="BB64" s="4">
        <v>37.9</v>
      </c>
      <c r="BC64" s="4">
        <v>5.59</v>
      </c>
      <c r="BD64" s="4">
        <v>25.1</v>
      </c>
      <c r="BE64" s="4">
        <v>4.9800000000000004</v>
      </c>
      <c r="BF64" s="4">
        <v>1.26</v>
      </c>
      <c r="BG64" s="4">
        <v>4.67</v>
      </c>
      <c r="BH64" s="4">
        <v>0.75</v>
      </c>
      <c r="BI64" s="4">
        <v>4.7300000000000004</v>
      </c>
      <c r="BJ64" s="4">
        <v>0.92</v>
      </c>
      <c r="BK64" s="4">
        <v>2.66</v>
      </c>
      <c r="BL64" s="10">
        <v>0.40799999999999997</v>
      </c>
      <c r="BM64" s="10">
        <v>2.7</v>
      </c>
      <c r="BN64" s="10">
        <v>0.40100000000000002</v>
      </c>
      <c r="BO64" s="9" t="s">
        <v>137</v>
      </c>
      <c r="BP64" s="9">
        <v>2.5299999999999998</v>
      </c>
      <c r="BQ64" s="9">
        <v>0.53</v>
      </c>
      <c r="BR64" s="9">
        <v>7.6</v>
      </c>
      <c r="BS64" s="9">
        <v>0.45</v>
      </c>
      <c r="BT64" s="9">
        <v>124</v>
      </c>
      <c r="BU64" s="9">
        <v>3.2</v>
      </c>
      <c r="BV64" s="9">
        <v>2.8</v>
      </c>
      <c r="BW64" s="9">
        <v>4</v>
      </c>
      <c r="BX64" s="9" t="s">
        <v>132</v>
      </c>
      <c r="BY64" s="9" t="s">
        <v>130</v>
      </c>
      <c r="BZ64" s="9"/>
      <c r="CA64" s="9"/>
      <c r="CB64" s="9"/>
      <c r="CC64" s="9" t="s">
        <v>131</v>
      </c>
      <c r="CD64" s="9"/>
      <c r="CE64" s="9"/>
      <c r="CF64" s="9"/>
      <c r="CG64" s="9"/>
      <c r="CH64" s="9">
        <v>0.06</v>
      </c>
      <c r="CI64" s="11">
        <f t="shared" si="127"/>
        <v>42.747278728127789</v>
      </c>
      <c r="CJ64" s="10">
        <f t="shared" si="128"/>
        <v>0.53328315026904116</v>
      </c>
      <c r="CK64" s="10">
        <f t="shared" si="129"/>
        <v>0.16253443526170799</v>
      </c>
      <c r="CL64" s="4">
        <f t="shared" si="130"/>
        <v>4.22</v>
      </c>
      <c r="CM64" s="4">
        <f t="shared" si="131"/>
        <v>10.472103004291846</v>
      </c>
      <c r="CN64" s="4">
        <f t="shared" si="132"/>
        <v>5.3218884120171674</v>
      </c>
      <c r="CO64" s="4">
        <f t="shared" si="133"/>
        <v>16.888888888888889</v>
      </c>
      <c r="CP64" s="4">
        <f t="shared" si="134"/>
        <v>3.547585560243788</v>
      </c>
      <c r="CQ64" s="4">
        <f t="shared" si="135"/>
        <v>5.2222222222222214</v>
      </c>
      <c r="CR64" s="4">
        <f t="shared" si="136"/>
        <v>1.751851851851852</v>
      </c>
      <c r="CS64" s="10">
        <f t="shared" si="137"/>
        <v>0.79642784302528258</v>
      </c>
      <c r="CT64" s="4">
        <f t="shared" si="138"/>
        <v>7.9230769230769234</v>
      </c>
      <c r="CU64" s="40">
        <f t="shared" si="139"/>
        <v>827.37628591057035</v>
      </c>
      <c r="CV64" s="40"/>
      <c r="CW64" s="4">
        <f t="shared" si="140"/>
        <v>52.95363963870831</v>
      </c>
      <c r="CX64" s="4">
        <f t="shared" si="141"/>
        <v>3.7968760981684957</v>
      </c>
      <c r="CY64" s="11">
        <f t="shared" si="142"/>
        <v>618.26375817611722</v>
      </c>
      <c r="CZ64" s="11">
        <f t="shared" si="143"/>
        <v>503.28795546336767</v>
      </c>
      <c r="DA64" s="10"/>
      <c r="DB64" s="10"/>
      <c r="DC64" s="10"/>
      <c r="DD64" s="4"/>
      <c r="DE64" s="31"/>
      <c r="DF64" s="31"/>
      <c r="DG64" s="32"/>
      <c r="DH64" s="32"/>
      <c r="DI64" s="11"/>
      <c r="DJ64" s="11"/>
      <c r="DK64" s="9"/>
      <c r="DL64" s="9"/>
      <c r="DM64" s="9"/>
      <c r="DN64" s="9"/>
      <c r="DO64" s="9"/>
      <c r="DP64" s="9"/>
    </row>
    <row r="65" spans="1:120" s="3" customFormat="1" ht="14" customHeight="1">
      <c r="A65" s="3" t="s">
        <v>156</v>
      </c>
      <c r="B65" s="3" t="s">
        <v>92</v>
      </c>
      <c r="C65" s="3" t="s">
        <v>57</v>
      </c>
      <c r="D65" s="4">
        <v>59.8</v>
      </c>
      <c r="E65" s="10">
        <v>1.968</v>
      </c>
      <c r="F65" s="4">
        <v>13.87</v>
      </c>
      <c r="G65" s="315">
        <v>8.4740000000000002</v>
      </c>
      <c r="H65" s="10">
        <v>0.17100000000000001</v>
      </c>
      <c r="I65" s="9">
        <v>3.16</v>
      </c>
      <c r="J65" s="4">
        <v>6.49</v>
      </c>
      <c r="K65" s="10">
        <v>4.1900000000000004</v>
      </c>
      <c r="L65" s="10">
        <v>0.5</v>
      </c>
      <c r="M65" s="10">
        <v>0.24</v>
      </c>
      <c r="N65" s="9"/>
      <c r="O65" s="9"/>
      <c r="P65" s="9"/>
      <c r="Q65" s="9"/>
      <c r="R65" s="4">
        <f t="shared" si="111"/>
        <v>60.47123066032966</v>
      </c>
      <c r="S65" s="10">
        <f t="shared" si="112"/>
        <v>1.9979695431472082</v>
      </c>
      <c r="T65" s="4">
        <f t="shared" si="113"/>
        <v>14.025685104661745</v>
      </c>
      <c r="U65" s="4">
        <f t="shared" si="114"/>
        <v>8.5691172009303269</v>
      </c>
      <c r="V65" s="10">
        <f t="shared" si="115"/>
        <v>0.17291940539993933</v>
      </c>
      <c r="W65" s="10">
        <f t="shared" si="116"/>
        <v>3.19546971382344</v>
      </c>
      <c r="X65" s="10">
        <f t="shared" si="117"/>
        <v>6.5628476084538372</v>
      </c>
      <c r="Y65" s="10">
        <f t="shared" si="118"/>
        <v>4.237031044595005</v>
      </c>
      <c r="Z65" s="10">
        <f t="shared" si="119"/>
        <v>0.50561229649105066</v>
      </c>
      <c r="AA65" s="10">
        <f t="shared" si="120"/>
        <v>0.24269390231570431</v>
      </c>
      <c r="AB65" s="10">
        <f t="shared" si="121"/>
        <v>0</v>
      </c>
      <c r="AC65" s="10">
        <f t="shared" si="122"/>
        <v>0</v>
      </c>
      <c r="AD65" s="10">
        <f t="shared" si="123"/>
        <v>0</v>
      </c>
      <c r="AE65" s="10"/>
      <c r="AF65" s="9"/>
      <c r="AG65" s="9"/>
      <c r="AH65" s="10">
        <v>1.81</v>
      </c>
      <c r="AI65" s="4">
        <v>100.7</v>
      </c>
      <c r="AJ65" s="11">
        <f t="shared" si="124"/>
        <v>4150.7430997876863</v>
      </c>
      <c r="AK65" s="11">
        <f t="shared" si="125"/>
        <v>11794.891006297972</v>
      </c>
      <c r="AL65" s="11">
        <f t="shared" si="126"/>
        <v>1047.3157672255882</v>
      </c>
      <c r="AM65" s="9">
        <v>81</v>
      </c>
      <c r="AN65" s="9">
        <v>12</v>
      </c>
      <c r="AO65" s="9">
        <v>20</v>
      </c>
      <c r="AP65" s="9">
        <v>216</v>
      </c>
      <c r="AQ65" s="9">
        <v>35</v>
      </c>
      <c r="AR65" s="9">
        <v>15.3</v>
      </c>
      <c r="AS65" s="9">
        <v>37</v>
      </c>
      <c r="AT65" s="11">
        <v>439</v>
      </c>
      <c r="AU65" s="11">
        <v>57.2</v>
      </c>
      <c r="AV65" s="9">
        <v>20</v>
      </c>
      <c r="AW65" s="9">
        <v>11</v>
      </c>
      <c r="AX65" s="9">
        <v>208</v>
      </c>
      <c r="AY65" s="9">
        <v>33.1</v>
      </c>
      <c r="AZ65" s="9" t="s">
        <v>133</v>
      </c>
      <c r="BA65" s="4">
        <v>14.1</v>
      </c>
      <c r="BB65" s="4">
        <v>36.700000000000003</v>
      </c>
      <c r="BC65" s="4">
        <v>5.58</v>
      </c>
      <c r="BD65" s="4">
        <v>25.8</v>
      </c>
      <c r="BE65" s="4">
        <v>6.39</v>
      </c>
      <c r="BF65" s="4">
        <v>1.61</v>
      </c>
      <c r="BG65" s="4">
        <v>6.58</v>
      </c>
      <c r="BH65" s="4">
        <v>1.07</v>
      </c>
      <c r="BI65" s="4">
        <v>6.41</v>
      </c>
      <c r="BJ65" s="4">
        <v>1.25</v>
      </c>
      <c r="BK65" s="4">
        <v>3.75</v>
      </c>
      <c r="BL65" s="10">
        <v>0.57599999999999996</v>
      </c>
      <c r="BM65" s="10">
        <v>3.58</v>
      </c>
      <c r="BN65" s="10">
        <v>0.49299999999999999</v>
      </c>
      <c r="BO65" s="9">
        <v>2</v>
      </c>
      <c r="BP65" s="9">
        <v>3.96</v>
      </c>
      <c r="BQ65" s="9">
        <v>0.71</v>
      </c>
      <c r="BR65" s="9">
        <v>14.1</v>
      </c>
      <c r="BS65" s="9">
        <v>3.14</v>
      </c>
      <c r="BT65" s="9">
        <v>226</v>
      </c>
      <c r="BU65" s="9">
        <v>6</v>
      </c>
      <c r="BV65" s="9">
        <v>2.9</v>
      </c>
      <c r="BW65" s="9">
        <v>9</v>
      </c>
      <c r="BX65" s="9">
        <v>0.9</v>
      </c>
      <c r="BY65" s="9" t="s">
        <v>130</v>
      </c>
      <c r="BZ65" s="9"/>
      <c r="CA65" s="9"/>
      <c r="CB65" s="9"/>
      <c r="CC65" s="9" t="s">
        <v>131</v>
      </c>
      <c r="CD65" s="9"/>
      <c r="CE65" s="9"/>
      <c r="CF65" s="9"/>
      <c r="CG65" s="9"/>
      <c r="CH65" s="9" t="s">
        <v>135</v>
      </c>
      <c r="CI65" s="11">
        <f t="shared" si="127"/>
        <v>37.42513275473366</v>
      </c>
      <c r="CJ65" s="10">
        <f t="shared" si="128"/>
        <v>0.54887380810073072</v>
      </c>
      <c r="CK65" s="10">
        <f t="shared" si="129"/>
        <v>0.11933174224343675</v>
      </c>
      <c r="CL65" s="4">
        <f t="shared" si="130"/>
        <v>4.6900000000000004</v>
      </c>
      <c r="CM65" s="4">
        <f t="shared" si="131"/>
        <v>6.2839879154078551</v>
      </c>
      <c r="CN65" s="4">
        <f t="shared" si="132"/>
        <v>6.8277945619335343</v>
      </c>
      <c r="CO65" s="4">
        <f t="shared" si="133"/>
        <v>4.4904458598726116</v>
      </c>
      <c r="CP65" s="4">
        <f t="shared" si="134"/>
        <v>2.6755533554911253</v>
      </c>
      <c r="CQ65" s="4">
        <f t="shared" si="135"/>
        <v>3.9385474860335195</v>
      </c>
      <c r="CR65" s="4">
        <f t="shared" si="136"/>
        <v>1.7905027932960893</v>
      </c>
      <c r="CS65" s="10">
        <f t="shared" si="137"/>
        <v>0.75685293810138299</v>
      </c>
      <c r="CT65" s="4">
        <f t="shared" si="138"/>
        <v>10.8</v>
      </c>
      <c r="CU65" s="40">
        <f t="shared" si="139"/>
        <v>886.14470875433142</v>
      </c>
      <c r="CV65" s="40"/>
      <c r="CW65" s="4">
        <f t="shared" si="140"/>
        <v>51.055211211564007</v>
      </c>
      <c r="CX65" s="4">
        <f t="shared" si="141"/>
        <v>3.1847796324559714</v>
      </c>
      <c r="CY65" s="11">
        <f t="shared" si="142"/>
        <v>693.07997085047327</v>
      </c>
      <c r="CZ65" s="11">
        <f t="shared" si="143"/>
        <v>590.18093891905903</v>
      </c>
      <c r="DA65" s="10"/>
      <c r="DB65" s="10"/>
      <c r="DC65" s="10"/>
      <c r="DD65" s="4"/>
      <c r="DE65" s="31"/>
      <c r="DF65" s="31"/>
      <c r="DG65" s="32"/>
      <c r="DH65" s="32"/>
      <c r="DI65" s="11"/>
      <c r="DJ65" s="11"/>
      <c r="DK65" s="9"/>
      <c r="DL65" s="9"/>
      <c r="DM65" s="9"/>
      <c r="DN65" s="9"/>
      <c r="DO65" s="9"/>
      <c r="DP65" s="9"/>
    </row>
    <row r="66" spans="1:120" s="3" customFormat="1" ht="14" customHeight="1">
      <c r="A66" s="3" t="s">
        <v>157</v>
      </c>
      <c r="B66" s="3" t="s">
        <v>92</v>
      </c>
      <c r="C66" s="3" t="s">
        <v>57</v>
      </c>
      <c r="D66" s="4">
        <v>56.22</v>
      </c>
      <c r="E66" s="10">
        <v>0.99399999999999999</v>
      </c>
      <c r="F66" s="4">
        <v>14.92</v>
      </c>
      <c r="G66" s="315">
        <v>7.7170000000000005</v>
      </c>
      <c r="H66" s="10">
        <v>0.123</v>
      </c>
      <c r="I66" s="9">
        <v>4.24</v>
      </c>
      <c r="J66" s="4">
        <v>7.96</v>
      </c>
      <c r="K66" s="10">
        <v>4.1100000000000003</v>
      </c>
      <c r="L66" s="10">
        <v>0.92</v>
      </c>
      <c r="M66" s="10">
        <v>0.19</v>
      </c>
      <c r="N66" s="9"/>
      <c r="O66" s="9"/>
      <c r="P66" s="9"/>
      <c r="Q66" s="9"/>
      <c r="R66" s="4">
        <f t="shared" si="111"/>
        <v>57.714813674160766</v>
      </c>
      <c r="S66" s="10">
        <f t="shared" si="112"/>
        <v>1.0091370558375634</v>
      </c>
      <c r="T66" s="4">
        <f t="shared" si="113"/>
        <v>15.316702597269275</v>
      </c>
      <c r="U66" s="4">
        <f t="shared" si="114"/>
        <v>7.9221845806385387</v>
      </c>
      <c r="V66" s="10">
        <f t="shared" si="115"/>
        <v>0.12627040344933788</v>
      </c>
      <c r="W66" s="10">
        <f t="shared" si="116"/>
        <v>4.3527358587414025</v>
      </c>
      <c r="X66" s="10">
        <f t="shared" si="117"/>
        <v>8.171645621599426</v>
      </c>
      <c r="Y66" s="10">
        <f t="shared" si="118"/>
        <v>4.2192793347705582</v>
      </c>
      <c r="Z66" s="10">
        <f t="shared" si="119"/>
        <v>0.94446155425520995</v>
      </c>
      <c r="AA66" s="10">
        <f t="shared" si="120"/>
        <v>0.19505184272661946</v>
      </c>
      <c r="AB66" s="10">
        <f t="shared" si="121"/>
        <v>0</v>
      </c>
      <c r="AC66" s="10">
        <f t="shared" si="122"/>
        <v>0</v>
      </c>
      <c r="AD66" s="10">
        <f t="shared" si="123"/>
        <v>0</v>
      </c>
      <c r="AE66" s="10"/>
      <c r="AF66" s="9"/>
      <c r="AG66" s="9"/>
      <c r="AH66" s="10">
        <v>1.67</v>
      </c>
      <c r="AI66" s="4">
        <v>99.08</v>
      </c>
      <c r="AJ66" s="11">
        <f t="shared" si="124"/>
        <v>7637.3673036093414</v>
      </c>
      <c r="AK66" s="11">
        <f t="shared" si="125"/>
        <v>5957.3788924086302</v>
      </c>
      <c r="AL66" s="11">
        <f t="shared" si="126"/>
        <v>829.12498238692399</v>
      </c>
      <c r="AM66" s="9">
        <v>213</v>
      </c>
      <c r="AN66" s="9">
        <v>15</v>
      </c>
      <c r="AO66" s="9">
        <v>22</v>
      </c>
      <c r="AP66" s="9">
        <v>175</v>
      </c>
      <c r="AQ66" s="9">
        <v>80</v>
      </c>
      <c r="AR66" s="9">
        <v>19.5</v>
      </c>
      <c r="AS66" s="9">
        <v>62</v>
      </c>
      <c r="AT66" s="11">
        <v>22</v>
      </c>
      <c r="AU66" s="11">
        <v>60.5</v>
      </c>
      <c r="AV66" s="9">
        <v>18</v>
      </c>
      <c r="AW66" s="9">
        <v>21</v>
      </c>
      <c r="AX66" s="9">
        <v>243</v>
      </c>
      <c r="AY66" s="9">
        <v>22.9</v>
      </c>
      <c r="AZ66" s="9">
        <v>0.1</v>
      </c>
      <c r="BA66" s="4">
        <v>15.9</v>
      </c>
      <c r="BB66" s="4">
        <v>44.3</v>
      </c>
      <c r="BC66" s="4">
        <v>6.28</v>
      </c>
      <c r="BD66" s="4">
        <v>26.2</v>
      </c>
      <c r="BE66" s="4">
        <v>5.35</v>
      </c>
      <c r="BF66" s="4">
        <v>1.2</v>
      </c>
      <c r="BG66" s="4">
        <v>5.17</v>
      </c>
      <c r="BH66" s="4">
        <v>0.85</v>
      </c>
      <c r="BI66" s="4">
        <v>5.22</v>
      </c>
      <c r="BJ66" s="4">
        <v>0.99</v>
      </c>
      <c r="BK66" s="4">
        <v>2.93</v>
      </c>
      <c r="BL66" s="10">
        <v>0.47299999999999998</v>
      </c>
      <c r="BM66" s="10">
        <v>2.94</v>
      </c>
      <c r="BN66" s="10">
        <v>0.41</v>
      </c>
      <c r="BO66" s="9" t="s">
        <v>137</v>
      </c>
      <c r="BP66" s="9">
        <v>2.62</v>
      </c>
      <c r="BQ66" s="9">
        <v>0.48</v>
      </c>
      <c r="BR66" s="9">
        <v>7</v>
      </c>
      <c r="BS66" s="9">
        <v>0.46</v>
      </c>
      <c r="BT66" s="9">
        <v>133</v>
      </c>
      <c r="BU66" s="9">
        <v>3.6</v>
      </c>
      <c r="BV66" s="9">
        <v>2.6</v>
      </c>
      <c r="BW66" s="9">
        <v>6</v>
      </c>
      <c r="BX66" s="9">
        <v>0.6</v>
      </c>
      <c r="BY66" s="9" t="s">
        <v>130</v>
      </c>
      <c r="BZ66" s="9"/>
      <c r="CA66" s="9"/>
      <c r="CB66" s="9"/>
      <c r="CC66" s="9" t="s">
        <v>131</v>
      </c>
      <c r="CD66" s="9"/>
      <c r="CE66" s="9"/>
      <c r="CF66" s="9"/>
      <c r="CG66" s="9"/>
      <c r="CH66" s="9">
        <v>0.08</v>
      </c>
      <c r="CI66" s="11">
        <f t="shared" si="127"/>
        <v>46.842880041452908</v>
      </c>
      <c r="CJ66" s="10">
        <f t="shared" si="128"/>
        <v>0.51085874035970413</v>
      </c>
      <c r="CK66" s="10">
        <f t="shared" si="129"/>
        <v>0.22384428223844283</v>
      </c>
      <c r="CL66" s="4">
        <f t="shared" si="130"/>
        <v>5.03</v>
      </c>
      <c r="CM66" s="4">
        <f t="shared" si="131"/>
        <v>10.611353711790393</v>
      </c>
      <c r="CN66" s="4">
        <f t="shared" si="132"/>
        <v>5.8078602620087336</v>
      </c>
      <c r="CO66" s="4">
        <f t="shared" si="133"/>
        <v>15.217391304347826</v>
      </c>
      <c r="CP66" s="4">
        <f t="shared" si="134"/>
        <v>3.673899939722725</v>
      </c>
      <c r="CQ66" s="4">
        <f t="shared" si="135"/>
        <v>5.4081632653061229</v>
      </c>
      <c r="CR66" s="4">
        <f t="shared" si="136"/>
        <v>1.7755102040816326</v>
      </c>
      <c r="CS66" s="10">
        <f t="shared" si="137"/>
        <v>0.69551753641698044</v>
      </c>
      <c r="CT66" s="4">
        <f t="shared" si="138"/>
        <v>7.9545454545454541</v>
      </c>
      <c r="CU66" s="40">
        <f t="shared" si="139"/>
        <v>810.46750723812204</v>
      </c>
      <c r="CV66" s="40"/>
      <c r="CW66" s="4">
        <f t="shared" si="140"/>
        <v>51.314234242595653</v>
      </c>
      <c r="CX66" s="4">
        <f t="shared" si="141"/>
        <v>3.7562677003778497</v>
      </c>
      <c r="CY66" s="11">
        <f t="shared" si="142"/>
        <v>624.75289832489977</v>
      </c>
      <c r="CZ66" s="11">
        <f t="shared" si="143"/>
        <v>510.33981340191326</v>
      </c>
      <c r="DA66" s="10"/>
      <c r="DB66" s="10"/>
      <c r="DC66" s="10"/>
      <c r="DD66" s="4"/>
      <c r="DE66" s="31"/>
      <c r="DF66" s="31"/>
      <c r="DG66" s="32"/>
      <c r="DH66" s="32"/>
      <c r="DI66" s="11"/>
      <c r="DJ66" s="11"/>
      <c r="DK66" s="9"/>
      <c r="DL66" s="9"/>
      <c r="DM66" s="9"/>
      <c r="DN66" s="9"/>
      <c r="DO66" s="9"/>
      <c r="DP66" s="9"/>
    </row>
    <row r="67" spans="1:120" s="3" customFormat="1" ht="14" customHeight="1">
      <c r="A67" s="3" t="s">
        <v>158</v>
      </c>
      <c r="B67" s="3" t="s">
        <v>92</v>
      </c>
      <c r="C67" s="3" t="s">
        <v>57</v>
      </c>
      <c r="D67" s="4">
        <v>57.46</v>
      </c>
      <c r="E67" s="10">
        <v>2.129</v>
      </c>
      <c r="F67" s="4">
        <v>14.42</v>
      </c>
      <c r="G67" s="315">
        <v>8.8309999999999995</v>
      </c>
      <c r="H67" s="10">
        <v>0.158</v>
      </c>
      <c r="I67" s="9">
        <v>3.53</v>
      </c>
      <c r="J67" s="4">
        <v>8.66</v>
      </c>
      <c r="K67" s="10">
        <v>3.56</v>
      </c>
      <c r="L67" s="10">
        <v>0.36</v>
      </c>
      <c r="M67" s="10" t="s">
        <v>159</v>
      </c>
      <c r="N67" s="9"/>
      <c r="O67" s="9"/>
      <c r="P67" s="9"/>
      <c r="Q67" s="9"/>
      <c r="R67" s="4">
        <f t="shared" si="111"/>
        <v>57.958442606415169</v>
      </c>
      <c r="S67" s="10">
        <f t="shared" si="112"/>
        <v>2.1614213197969545</v>
      </c>
      <c r="T67" s="4">
        <f t="shared" si="113"/>
        <v>14.545087754690337</v>
      </c>
      <c r="U67" s="4">
        <f t="shared" si="114"/>
        <v>8.907605406495863</v>
      </c>
      <c r="V67" s="10">
        <f t="shared" si="115"/>
        <v>0.15937058704861812</v>
      </c>
      <c r="W67" s="10">
        <f t="shared" si="116"/>
        <v>3.5606213435545695</v>
      </c>
      <c r="X67" s="10">
        <f t="shared" si="117"/>
        <v>8.7351220496267903</v>
      </c>
      <c r="Y67" s="10">
        <f t="shared" si="118"/>
        <v>3.5908815816017752</v>
      </c>
      <c r="Z67" s="10">
        <f t="shared" si="119"/>
        <v>0.36312285656647164</v>
      </c>
      <c r="AA67" s="10"/>
      <c r="AB67" s="10">
        <f t="shared" si="121"/>
        <v>0</v>
      </c>
      <c r="AC67" s="10">
        <f t="shared" si="122"/>
        <v>0</v>
      </c>
      <c r="AD67" s="10">
        <f t="shared" si="123"/>
        <v>0</v>
      </c>
      <c r="AE67" s="10"/>
      <c r="AF67" s="9"/>
      <c r="AG67" s="9"/>
      <c r="AH67" s="10">
        <v>0.76</v>
      </c>
      <c r="AI67" s="4">
        <v>99.9</v>
      </c>
      <c r="AJ67" s="11">
        <f t="shared" si="124"/>
        <v>2988.5350318471337</v>
      </c>
      <c r="AK67" s="11">
        <f t="shared" si="125"/>
        <v>12759.818573378241</v>
      </c>
      <c r="AL67" s="11"/>
      <c r="AM67" s="9">
        <v>53</v>
      </c>
      <c r="AN67" s="9">
        <v>7</v>
      </c>
      <c r="AO67" s="9">
        <v>22</v>
      </c>
      <c r="AP67" s="9">
        <v>207</v>
      </c>
      <c r="AQ67" s="9">
        <v>23</v>
      </c>
      <c r="AR67" s="9">
        <v>20.9</v>
      </c>
      <c r="AS67" s="9">
        <v>41</v>
      </c>
      <c r="AT67" s="11">
        <v>59.4</v>
      </c>
      <c r="AU67" s="11">
        <v>51.9</v>
      </c>
      <c r="AV67" s="9">
        <v>21</v>
      </c>
      <c r="AW67" s="9">
        <v>13</v>
      </c>
      <c r="AX67" s="9">
        <v>245</v>
      </c>
      <c r="AY67" s="9">
        <v>32.6</v>
      </c>
      <c r="AZ67" s="9">
        <v>0.2</v>
      </c>
      <c r="BA67" s="4">
        <v>14.5</v>
      </c>
      <c r="BB67" s="4">
        <v>35.799999999999997</v>
      </c>
      <c r="BC67" s="4">
        <v>5.23</v>
      </c>
      <c r="BD67" s="4">
        <v>22.6</v>
      </c>
      <c r="BE67" s="4">
        <v>5.66</v>
      </c>
      <c r="BF67" s="4">
        <v>1.39</v>
      </c>
      <c r="BG67" s="4">
        <v>5.58</v>
      </c>
      <c r="BH67" s="4">
        <v>0.95</v>
      </c>
      <c r="BI67" s="4">
        <v>6.03</v>
      </c>
      <c r="BJ67" s="4">
        <v>1.1200000000000001</v>
      </c>
      <c r="BK67" s="4">
        <v>3.44</v>
      </c>
      <c r="BL67" s="10">
        <v>0.54100000000000004</v>
      </c>
      <c r="BM67" s="10">
        <v>3.49</v>
      </c>
      <c r="BN67" s="10">
        <v>0.53900000000000003</v>
      </c>
      <c r="BO67" s="9">
        <v>2</v>
      </c>
      <c r="BP67" s="9">
        <v>2.59</v>
      </c>
      <c r="BQ67" s="9">
        <v>0.62</v>
      </c>
      <c r="BR67" s="9">
        <v>13.2</v>
      </c>
      <c r="BS67" s="9">
        <v>0.86</v>
      </c>
      <c r="BT67" s="9">
        <v>189</v>
      </c>
      <c r="BU67" s="9">
        <v>4.3</v>
      </c>
      <c r="BV67" s="9">
        <v>2.4</v>
      </c>
      <c r="BW67" s="9">
        <v>5</v>
      </c>
      <c r="BX67" s="9">
        <v>0.6</v>
      </c>
      <c r="BY67" s="9" t="s">
        <v>130</v>
      </c>
      <c r="BZ67" s="9"/>
      <c r="CA67" s="9"/>
      <c r="CB67" s="9"/>
      <c r="CC67" s="9" t="s">
        <v>131</v>
      </c>
      <c r="CD67" s="9"/>
      <c r="CE67" s="9"/>
      <c r="CF67" s="9"/>
      <c r="CG67" s="9"/>
      <c r="CH67" s="9" t="s">
        <v>135</v>
      </c>
      <c r="CI67" s="11">
        <f t="shared" si="127"/>
        <v>39.065471221185376</v>
      </c>
      <c r="CJ67" s="10">
        <f t="shared" si="128"/>
        <v>0.49908743468528838</v>
      </c>
      <c r="CK67" s="10">
        <f t="shared" si="129"/>
        <v>0.10112359550561797</v>
      </c>
      <c r="CL67" s="4">
        <f t="shared" si="130"/>
        <v>3.92</v>
      </c>
      <c r="CM67" s="4">
        <f t="shared" si="131"/>
        <v>7.5153374233128831</v>
      </c>
      <c r="CN67" s="4">
        <f t="shared" si="132"/>
        <v>5.7975460122699385</v>
      </c>
      <c r="CO67" s="4">
        <f t="shared" si="133"/>
        <v>15.348837209302324</v>
      </c>
      <c r="CP67" s="4">
        <f t="shared" si="134"/>
        <v>2.8224100201902966</v>
      </c>
      <c r="CQ67" s="4">
        <f t="shared" si="135"/>
        <v>4.1547277936962752</v>
      </c>
      <c r="CR67" s="4">
        <f t="shared" si="136"/>
        <v>1.7277936962750715</v>
      </c>
      <c r="CS67" s="10">
        <f t="shared" si="137"/>
        <v>0.75394295294328562</v>
      </c>
      <c r="CT67" s="4">
        <f t="shared" si="138"/>
        <v>9.4090909090909083</v>
      </c>
      <c r="CU67" s="40"/>
      <c r="CV67" s="40"/>
      <c r="CW67" s="4"/>
      <c r="CX67" s="4"/>
      <c r="CY67" s="11"/>
      <c r="CZ67" s="11"/>
      <c r="DA67" s="10"/>
      <c r="DB67" s="10"/>
      <c r="DC67" s="10"/>
      <c r="DD67" s="4"/>
      <c r="DE67" s="31"/>
      <c r="DF67" s="31"/>
      <c r="DG67" s="32"/>
      <c r="DH67" s="32"/>
      <c r="DI67" s="11"/>
      <c r="DJ67" s="11"/>
      <c r="DK67" s="9"/>
      <c r="DL67" s="9"/>
      <c r="DM67" s="9"/>
      <c r="DN67" s="9"/>
      <c r="DO67" s="9"/>
      <c r="DP67" s="9"/>
    </row>
    <row r="68" spans="1:120" s="3" customFormat="1" ht="14" customHeight="1">
      <c r="A68" s="3" t="s">
        <v>160</v>
      </c>
      <c r="B68" s="3" t="s">
        <v>92</v>
      </c>
      <c r="C68" s="3" t="s">
        <v>57</v>
      </c>
      <c r="D68" s="4">
        <v>63.53</v>
      </c>
      <c r="E68" s="10">
        <v>0.63500000000000001</v>
      </c>
      <c r="F68" s="4">
        <v>15.52</v>
      </c>
      <c r="G68" s="315">
        <v>6.49</v>
      </c>
      <c r="H68" s="10">
        <v>0.09</v>
      </c>
      <c r="I68" s="9">
        <v>2.81</v>
      </c>
      <c r="J68" s="4">
        <v>5.95</v>
      </c>
      <c r="K68" s="10">
        <v>3.5</v>
      </c>
      <c r="L68" s="10">
        <v>1.06</v>
      </c>
      <c r="M68" s="10">
        <v>0.08</v>
      </c>
      <c r="N68" s="9"/>
      <c r="O68" s="9"/>
      <c r="P68" s="9"/>
      <c r="Q68" s="9"/>
      <c r="R68" s="4">
        <f t="shared" si="111"/>
        <v>63.733948635634036</v>
      </c>
      <c r="S68" s="10">
        <f t="shared" si="112"/>
        <v>0.64467005076142136</v>
      </c>
      <c r="T68" s="4">
        <f t="shared" si="113"/>
        <v>15.569823434991976</v>
      </c>
      <c r="U68" s="4">
        <f t="shared" si="114"/>
        <v>6.5108346709470313</v>
      </c>
      <c r="V68" s="10">
        <f t="shared" si="115"/>
        <v>9.0288924558587488E-2</v>
      </c>
      <c r="W68" s="10">
        <f t="shared" si="116"/>
        <v>2.819020866773676</v>
      </c>
      <c r="X68" s="10">
        <f t="shared" si="117"/>
        <v>5.9691011235955065</v>
      </c>
      <c r="Y68" s="10">
        <f t="shared" si="118"/>
        <v>3.51123595505618</v>
      </c>
      <c r="Z68" s="10">
        <f t="shared" si="119"/>
        <v>1.063402889245586</v>
      </c>
      <c r="AA68" s="10">
        <f t="shared" si="120"/>
        <v>8.0256821829855537E-2</v>
      </c>
      <c r="AB68" s="10">
        <f t="shared" si="121"/>
        <v>0</v>
      </c>
      <c r="AC68" s="10">
        <f t="shared" si="122"/>
        <v>0</v>
      </c>
      <c r="AD68" s="10">
        <f t="shared" si="123"/>
        <v>0</v>
      </c>
      <c r="AE68" s="10"/>
      <c r="AF68" s="9"/>
      <c r="AG68" s="9"/>
      <c r="AH68" s="10">
        <v>1.1200000000000001</v>
      </c>
      <c r="AI68" s="4">
        <v>100.8</v>
      </c>
      <c r="AJ68" s="11">
        <f t="shared" si="124"/>
        <v>8799.575371549894</v>
      </c>
      <c r="AK68" s="11">
        <f t="shared" si="125"/>
        <v>3805.7702179874041</v>
      </c>
      <c r="AL68" s="11">
        <f t="shared" ref="AL68:AL77" si="144">M68*2*30.97/(2*30.97+16*5)*10000</f>
        <v>349.10525574186272</v>
      </c>
      <c r="AM68" s="9">
        <v>192</v>
      </c>
      <c r="AN68" s="9">
        <v>15</v>
      </c>
      <c r="AO68" s="9">
        <v>15</v>
      </c>
      <c r="AP68" s="9">
        <v>110</v>
      </c>
      <c r="AQ68" s="9">
        <v>57</v>
      </c>
      <c r="AR68" s="9">
        <v>20.7</v>
      </c>
      <c r="AS68" s="9">
        <v>65</v>
      </c>
      <c r="AT68" s="11">
        <v>6.1</v>
      </c>
      <c r="AU68" s="11">
        <v>57.4</v>
      </c>
      <c r="AV68" s="9">
        <v>19</v>
      </c>
      <c r="AW68" s="9">
        <v>48</v>
      </c>
      <c r="AX68" s="9">
        <v>193</v>
      </c>
      <c r="AY68" s="9">
        <v>26.1</v>
      </c>
      <c r="AZ68" s="9">
        <v>0.7</v>
      </c>
      <c r="BA68" s="4">
        <v>17.7</v>
      </c>
      <c r="BB68" s="4">
        <v>37.200000000000003</v>
      </c>
      <c r="BC68" s="4">
        <v>4.8600000000000003</v>
      </c>
      <c r="BD68" s="4">
        <v>20.7</v>
      </c>
      <c r="BE68" s="4">
        <v>4.96</v>
      </c>
      <c r="BF68" s="4">
        <v>0.94399999999999995</v>
      </c>
      <c r="BG68" s="4">
        <v>4.79</v>
      </c>
      <c r="BH68" s="4">
        <v>0.78</v>
      </c>
      <c r="BI68" s="4">
        <v>4.7699999999999996</v>
      </c>
      <c r="BJ68" s="4">
        <v>0.95</v>
      </c>
      <c r="BK68" s="4">
        <v>2.59</v>
      </c>
      <c r="BL68" s="10">
        <v>0.39300000000000002</v>
      </c>
      <c r="BM68" s="10">
        <v>2.56</v>
      </c>
      <c r="BN68" s="10">
        <v>0.378</v>
      </c>
      <c r="BO68" s="9">
        <v>3</v>
      </c>
      <c r="BP68" s="9">
        <v>4.58</v>
      </c>
      <c r="BQ68" s="9">
        <v>1.23</v>
      </c>
      <c r="BR68" s="9">
        <v>5.7</v>
      </c>
      <c r="BS68" s="9">
        <v>0.65</v>
      </c>
      <c r="BT68" s="9">
        <v>150</v>
      </c>
      <c r="BU68" s="9">
        <v>3.9</v>
      </c>
      <c r="BV68" s="9">
        <v>1.9</v>
      </c>
      <c r="BW68" s="9">
        <v>2</v>
      </c>
      <c r="BX68" s="9">
        <v>1.5</v>
      </c>
      <c r="BY68" s="9" t="s">
        <v>130</v>
      </c>
      <c r="BZ68" s="9"/>
      <c r="CA68" s="9"/>
      <c r="CB68" s="9"/>
      <c r="CC68" s="9" t="s">
        <v>131</v>
      </c>
      <c r="CD68" s="9"/>
      <c r="CE68" s="9"/>
      <c r="CF68" s="9"/>
      <c r="CG68" s="9"/>
      <c r="CH68" s="9">
        <v>0.15</v>
      </c>
      <c r="CI68" s="11">
        <f t="shared" si="127"/>
        <v>40.982988641620892</v>
      </c>
      <c r="CJ68" s="10">
        <f t="shared" si="128"/>
        <v>0.66652209316698241</v>
      </c>
      <c r="CK68" s="10">
        <f t="shared" si="129"/>
        <v>0.30285714285714288</v>
      </c>
      <c r="CL68" s="4">
        <f t="shared" si="130"/>
        <v>4.5600000000000005</v>
      </c>
      <c r="CM68" s="4">
        <f t="shared" si="131"/>
        <v>7.3946360153256698</v>
      </c>
      <c r="CN68" s="4">
        <f t="shared" si="132"/>
        <v>5.7471264367816088</v>
      </c>
      <c r="CO68" s="4">
        <f t="shared" si="133"/>
        <v>8.7692307692307701</v>
      </c>
      <c r="CP68" s="4">
        <f t="shared" si="134"/>
        <v>4.6968947784810133</v>
      </c>
      <c r="CQ68" s="4">
        <f t="shared" si="135"/>
        <v>6.9140625</v>
      </c>
      <c r="CR68" s="4">
        <f t="shared" si="136"/>
        <v>1.8632812499999998</v>
      </c>
      <c r="CS68" s="10">
        <f t="shared" si="137"/>
        <v>0.59035385075415725</v>
      </c>
      <c r="CT68" s="4">
        <f t="shared" si="138"/>
        <v>7.333333333333333</v>
      </c>
      <c r="CU68" s="40">
        <f t="shared" ref="CU68:CU76" si="145">(26400*D68/100-4800)/(12.4*D68/100-LN(M68/100)-3.97)-273.15</f>
        <v>811.39872697860858</v>
      </c>
      <c r="CV68" s="40"/>
      <c r="CW68" s="4">
        <f t="shared" ref="CW68:CW76" si="146">D68*28.086/(28.086+15.999*2)+F68*26.982*2/(26.982*2+15.999*3)+G68*55.845*2/(55.845*2+15.999*3)+J68*40.078/(40.078+15.999)+I68*32.99*2/(22.99*2+15.999)+L68*39.098*2/(39.098*2+15.999)+O68*51.996*2/(51.996*2+15.999*3)+E68*47.867/(47.867+15.999*2)+H68*54.938/(54.938+15.999)+M68*30.974*2/(30.974*2+15.999*5)+P68*87.62/(87.62+15.999)+N68*137.328/(137.328+15.999)</f>
        <v>51.059255865698091</v>
      </c>
      <c r="CX68" s="4">
        <f t="shared" ref="CX68:CX76" si="147">(K68*22.99*2/(22.99*2+15.999)+L68*39.098*2/(39.098*2+15.999)+2*J68*40.078/(40.078+15.999))/((F68*2*26.982/(26.982*2+15.999*3))*(D68*28.086/(28.086+15.999*2)))*CW68</f>
        <v>2.5078935212317548</v>
      </c>
      <c r="CY68" s="11">
        <f t="shared" si="142"/>
        <v>705.20444600308008</v>
      </c>
      <c r="CZ68" s="11">
        <f t="shared" si="143"/>
        <v>618.77020213321907</v>
      </c>
      <c r="DA68" s="10"/>
      <c r="DB68" s="10"/>
      <c r="DC68" s="10"/>
      <c r="DD68" s="4"/>
      <c r="DE68" s="31"/>
      <c r="DF68" s="31"/>
      <c r="DG68" s="32"/>
      <c r="DH68" s="32"/>
      <c r="DI68" s="11"/>
      <c r="DJ68" s="11"/>
      <c r="DK68" s="9"/>
      <c r="DL68" s="9"/>
      <c r="DM68" s="9"/>
      <c r="DN68" s="9"/>
      <c r="DO68" s="9"/>
      <c r="DP68" s="9"/>
    </row>
    <row r="69" spans="1:120" s="3" customFormat="1" ht="14" customHeight="1">
      <c r="A69" s="3" t="s">
        <v>161</v>
      </c>
      <c r="B69" s="3" t="s">
        <v>92</v>
      </c>
      <c r="C69" s="3" t="s">
        <v>57</v>
      </c>
      <c r="D69" s="4">
        <v>60.64</v>
      </c>
      <c r="E69" s="10">
        <v>0.91100000000000003</v>
      </c>
      <c r="F69" s="4">
        <v>16.350000000000001</v>
      </c>
      <c r="G69" s="315">
        <v>5.3890000000000002</v>
      </c>
      <c r="H69" s="10">
        <v>9.5000000000000001E-2</v>
      </c>
      <c r="I69" s="9">
        <v>1.45</v>
      </c>
      <c r="J69" s="4">
        <v>6.39</v>
      </c>
      <c r="K69" s="10">
        <v>4.9000000000000004</v>
      </c>
      <c r="L69" s="10">
        <v>0.89</v>
      </c>
      <c r="M69" s="10">
        <v>0.22</v>
      </c>
      <c r="N69" s="9"/>
      <c r="O69" s="9"/>
      <c r="P69" s="9"/>
      <c r="Q69" s="9"/>
      <c r="R69" s="4">
        <f t="shared" si="111"/>
        <v>62.367582022009671</v>
      </c>
      <c r="S69" s="10">
        <f t="shared" si="112"/>
        <v>0.92487309644670057</v>
      </c>
      <c r="T69" s="4">
        <f t="shared" si="113"/>
        <v>16.815797593335393</v>
      </c>
      <c r="U69" s="4">
        <f t="shared" si="114"/>
        <v>5.5425280263293226</v>
      </c>
      <c r="V69" s="10">
        <f t="shared" si="115"/>
        <v>9.7706469196749982E-2</v>
      </c>
      <c r="W69" s="10">
        <f t="shared" si="116"/>
        <v>1.4913092666872365</v>
      </c>
      <c r="X69" s="10">
        <f t="shared" si="117"/>
        <v>6.5720456649182362</v>
      </c>
      <c r="Y69" s="10">
        <f t="shared" si="118"/>
        <v>5.0395968322534213</v>
      </c>
      <c r="Z69" s="10">
        <f t="shared" si="119"/>
        <v>0.91535534300113142</v>
      </c>
      <c r="AA69" s="10">
        <f t="shared" si="120"/>
        <v>0.22626761287668418</v>
      </c>
      <c r="AB69" s="10">
        <f t="shared" si="121"/>
        <v>0</v>
      </c>
      <c r="AC69" s="10">
        <f t="shared" si="122"/>
        <v>0</v>
      </c>
      <c r="AD69" s="10">
        <f t="shared" si="123"/>
        <v>0</v>
      </c>
      <c r="AE69" s="10"/>
      <c r="AF69" s="9"/>
      <c r="AG69" s="9"/>
      <c r="AH69" s="10">
        <v>2.0099999999999998</v>
      </c>
      <c r="AI69" s="4">
        <v>99.24</v>
      </c>
      <c r="AJ69" s="11">
        <f t="shared" si="124"/>
        <v>7388.3227176220798</v>
      </c>
      <c r="AK69" s="11">
        <f t="shared" si="125"/>
        <v>5459.9317615535838</v>
      </c>
      <c r="AL69" s="11">
        <f t="shared" si="144"/>
        <v>960.03945329012254</v>
      </c>
      <c r="AM69" s="9">
        <v>271</v>
      </c>
      <c r="AN69" s="9">
        <v>19</v>
      </c>
      <c r="AO69" s="9">
        <v>16</v>
      </c>
      <c r="AP69" s="9">
        <v>36</v>
      </c>
      <c r="AQ69" s="9">
        <v>14</v>
      </c>
      <c r="AR69" s="9">
        <v>13.2</v>
      </c>
      <c r="AS69" s="9">
        <v>12</v>
      </c>
      <c r="AT69" s="11">
        <v>38.5</v>
      </c>
      <c r="AU69" s="11">
        <v>40.6</v>
      </c>
      <c r="AV69" s="9">
        <v>23</v>
      </c>
      <c r="AW69" s="9">
        <v>26</v>
      </c>
      <c r="AX69" s="9">
        <v>348</v>
      </c>
      <c r="AY69" s="9">
        <v>34.200000000000003</v>
      </c>
      <c r="AZ69" s="9">
        <v>0.4</v>
      </c>
      <c r="BA69" s="4">
        <v>17</v>
      </c>
      <c r="BB69" s="4">
        <v>36.700000000000003</v>
      </c>
      <c r="BC69" s="4">
        <v>5.0599999999999996</v>
      </c>
      <c r="BD69" s="4">
        <v>22.5</v>
      </c>
      <c r="BE69" s="4">
        <v>5.36</v>
      </c>
      <c r="BF69" s="4">
        <v>2.0699999999999998</v>
      </c>
      <c r="BG69" s="4">
        <v>6.16</v>
      </c>
      <c r="BH69" s="4">
        <v>0.99</v>
      </c>
      <c r="BI69" s="4">
        <v>5.74</v>
      </c>
      <c r="BJ69" s="4">
        <v>1.1599999999999999</v>
      </c>
      <c r="BK69" s="4">
        <v>3.64</v>
      </c>
      <c r="BL69" s="10">
        <v>0.55000000000000004</v>
      </c>
      <c r="BM69" s="10">
        <v>3.56</v>
      </c>
      <c r="BN69" s="10">
        <v>0.53500000000000003</v>
      </c>
      <c r="BO69" s="9">
        <v>4</v>
      </c>
      <c r="BP69" s="9">
        <v>3.08</v>
      </c>
      <c r="BQ69" s="9">
        <v>0.71</v>
      </c>
      <c r="BR69" s="9">
        <v>10.4</v>
      </c>
      <c r="BS69" s="9">
        <v>0.67</v>
      </c>
      <c r="BT69" s="9">
        <v>590</v>
      </c>
      <c r="BU69" s="9">
        <v>11.5</v>
      </c>
      <c r="BV69" s="9">
        <v>2.4</v>
      </c>
      <c r="BW69" s="9">
        <v>1</v>
      </c>
      <c r="BX69" s="9" t="s">
        <v>132</v>
      </c>
      <c r="BY69" s="9" t="s">
        <v>130</v>
      </c>
      <c r="BZ69" s="9"/>
      <c r="CA69" s="9"/>
      <c r="CB69" s="9"/>
      <c r="CC69" s="9" t="s">
        <v>131</v>
      </c>
      <c r="CD69" s="9"/>
      <c r="CE69" s="9"/>
      <c r="CF69" s="9"/>
      <c r="CG69" s="9"/>
      <c r="CH69" s="9">
        <v>0.13</v>
      </c>
      <c r="CI69" s="11">
        <f t="shared" si="127"/>
        <v>30.145330544779778</v>
      </c>
      <c r="CJ69" s="10">
        <f t="shared" si="128"/>
        <v>0.60287129185954291</v>
      </c>
      <c r="CK69" s="10">
        <f t="shared" si="129"/>
        <v>0.18163265306122447</v>
      </c>
      <c r="CL69" s="4">
        <f t="shared" si="130"/>
        <v>5.79</v>
      </c>
      <c r="CM69" s="4">
        <f t="shared" si="131"/>
        <v>10.175438596491228</v>
      </c>
      <c r="CN69" s="4">
        <f t="shared" si="132"/>
        <v>17.251461988304094</v>
      </c>
      <c r="CO69" s="4">
        <f t="shared" si="133"/>
        <v>15.522388059701493</v>
      </c>
      <c r="CP69" s="4">
        <f t="shared" si="134"/>
        <v>3.2439671929076002</v>
      </c>
      <c r="CQ69" s="4">
        <f t="shared" si="135"/>
        <v>4.7752808988764048</v>
      </c>
      <c r="CR69" s="4">
        <f t="shared" si="136"/>
        <v>1.6123595505617978</v>
      </c>
      <c r="CS69" s="10">
        <f t="shared" si="137"/>
        <v>1.0981118940690484</v>
      </c>
      <c r="CT69" s="4">
        <f t="shared" si="138"/>
        <v>2.25</v>
      </c>
      <c r="CU69" s="40">
        <f t="shared" si="145"/>
        <v>886.15877835859135</v>
      </c>
      <c r="CV69" s="40"/>
      <c r="CW69" s="4">
        <f t="shared" si="146"/>
        <v>48.333491328766264</v>
      </c>
      <c r="CX69" s="4">
        <f t="shared" si="147"/>
        <v>2.6616695576593972</v>
      </c>
      <c r="CY69" s="11">
        <f t="shared" si="142"/>
        <v>806.65262076595161</v>
      </c>
      <c r="CZ69" s="11">
        <f t="shared" si="143"/>
        <v>723.52262837818546</v>
      </c>
      <c r="DA69" s="4"/>
      <c r="DB69" s="10"/>
      <c r="DC69" s="10"/>
      <c r="DD69" s="4"/>
      <c r="DE69" s="31"/>
      <c r="DF69" s="31"/>
      <c r="DG69" s="32"/>
      <c r="DH69" s="32"/>
      <c r="DI69" s="11"/>
      <c r="DJ69" s="11"/>
      <c r="DK69" s="9"/>
      <c r="DL69" s="9"/>
      <c r="DM69" s="9"/>
      <c r="DN69" s="9"/>
      <c r="DO69" s="9"/>
      <c r="DP69" s="9"/>
    </row>
    <row r="70" spans="1:120" s="3" customFormat="1" ht="14" customHeight="1">
      <c r="A70" s="3" t="s">
        <v>162</v>
      </c>
      <c r="B70" s="3" t="s">
        <v>92</v>
      </c>
      <c r="C70" s="3" t="s">
        <v>57</v>
      </c>
      <c r="D70" s="4">
        <v>61.08</v>
      </c>
      <c r="E70" s="10">
        <v>0.68300000000000005</v>
      </c>
      <c r="F70" s="4">
        <v>15.43</v>
      </c>
      <c r="G70" s="315">
        <v>7.3310000000000004</v>
      </c>
      <c r="H70" s="10">
        <v>9.7000000000000003E-2</v>
      </c>
      <c r="I70" s="9">
        <v>2.8</v>
      </c>
      <c r="J70" s="4">
        <v>6.16</v>
      </c>
      <c r="K70" s="10">
        <v>3.49</v>
      </c>
      <c r="L70" s="10">
        <v>1.29</v>
      </c>
      <c r="M70" s="10">
        <v>7.0000000000000007E-2</v>
      </c>
      <c r="N70" s="9"/>
      <c r="O70" s="9"/>
      <c r="P70" s="9"/>
      <c r="Q70" s="9"/>
      <c r="R70" s="4">
        <f t="shared" si="111"/>
        <v>62.047947988622511</v>
      </c>
      <c r="S70" s="10">
        <f t="shared" si="112"/>
        <v>0.69340101522842656</v>
      </c>
      <c r="T70" s="4">
        <f t="shared" si="113"/>
        <v>15.674522551808208</v>
      </c>
      <c r="U70" s="4">
        <f t="shared" si="114"/>
        <v>7.4471759447379116</v>
      </c>
      <c r="V70" s="10">
        <f t="shared" si="115"/>
        <v>9.8537180008126793E-2</v>
      </c>
      <c r="W70" s="10">
        <f t="shared" si="116"/>
        <v>2.8443722064201546</v>
      </c>
      <c r="X70" s="10">
        <f t="shared" si="117"/>
        <v>6.25761885412434</v>
      </c>
      <c r="Y70" s="10">
        <f t="shared" si="118"/>
        <v>3.545306785859407</v>
      </c>
      <c r="Z70" s="10">
        <f t="shared" si="119"/>
        <v>1.3104429093864283</v>
      </c>
      <c r="AA70" s="10">
        <f t="shared" si="120"/>
        <v>7.1109305160503872E-2</v>
      </c>
      <c r="AB70" s="10">
        <f t="shared" si="121"/>
        <v>0</v>
      </c>
      <c r="AC70" s="10">
        <f t="shared" si="122"/>
        <v>0</v>
      </c>
      <c r="AD70" s="10">
        <f t="shared" si="123"/>
        <v>0</v>
      </c>
      <c r="AE70" s="10"/>
      <c r="AF70" s="9"/>
      <c r="AG70" s="9"/>
      <c r="AH70" s="10">
        <v>1.53</v>
      </c>
      <c r="AI70" s="4">
        <v>99.97</v>
      </c>
      <c r="AJ70" s="11">
        <f t="shared" si="124"/>
        <v>10708.917197452229</v>
      </c>
      <c r="AK70" s="11">
        <f t="shared" si="125"/>
        <v>4093.4504864336968</v>
      </c>
      <c r="AL70" s="11">
        <f t="shared" si="144"/>
        <v>305.46709877412991</v>
      </c>
      <c r="AM70" s="9">
        <v>231</v>
      </c>
      <c r="AN70" s="9">
        <v>23</v>
      </c>
      <c r="AO70" s="9">
        <v>16</v>
      </c>
      <c r="AP70" s="9">
        <v>111</v>
      </c>
      <c r="AQ70" s="9">
        <v>61</v>
      </c>
      <c r="AR70" s="9">
        <v>29.4</v>
      </c>
      <c r="AS70" s="9">
        <v>65</v>
      </c>
      <c r="AT70" s="11">
        <v>56.1</v>
      </c>
      <c r="AU70" s="11">
        <v>69.400000000000006</v>
      </c>
      <c r="AV70" s="9">
        <v>19</v>
      </c>
      <c r="AW70" s="9">
        <v>49</v>
      </c>
      <c r="AX70" s="9">
        <v>253</v>
      </c>
      <c r="AY70" s="9">
        <v>25.9</v>
      </c>
      <c r="AZ70" s="9">
        <v>0.7</v>
      </c>
      <c r="BA70" s="4">
        <v>18.3</v>
      </c>
      <c r="BB70" s="4">
        <v>36.700000000000003</v>
      </c>
      <c r="BC70" s="4">
        <v>4.8</v>
      </c>
      <c r="BD70" s="4">
        <v>19.7</v>
      </c>
      <c r="BE70" s="4">
        <v>5.1100000000000003</v>
      </c>
      <c r="BF70" s="4">
        <v>1.78</v>
      </c>
      <c r="BG70" s="4">
        <v>5.15</v>
      </c>
      <c r="BH70" s="4">
        <v>0.83</v>
      </c>
      <c r="BI70" s="4">
        <v>4.55</v>
      </c>
      <c r="BJ70" s="4">
        <v>0.9</v>
      </c>
      <c r="BK70" s="4">
        <v>2.83</v>
      </c>
      <c r="BL70" s="10">
        <v>0.44700000000000001</v>
      </c>
      <c r="BM70" s="10">
        <v>2.81</v>
      </c>
      <c r="BN70" s="10">
        <v>0.39600000000000002</v>
      </c>
      <c r="BO70" s="9">
        <v>3</v>
      </c>
      <c r="BP70" s="9">
        <v>3.83</v>
      </c>
      <c r="BQ70" s="9">
        <v>0.9</v>
      </c>
      <c r="BR70" s="9">
        <v>4.9000000000000004</v>
      </c>
      <c r="BS70" s="9">
        <v>0.53</v>
      </c>
      <c r="BT70" s="9">
        <v>162</v>
      </c>
      <c r="BU70" s="9">
        <v>3.5</v>
      </c>
      <c r="BV70" s="9">
        <v>1.4</v>
      </c>
      <c r="BW70" s="9">
        <v>2</v>
      </c>
      <c r="BX70" s="9" t="s">
        <v>132</v>
      </c>
      <c r="BY70" s="9" t="s">
        <v>130</v>
      </c>
      <c r="BZ70" s="9"/>
      <c r="CA70" s="9"/>
      <c r="CB70" s="9"/>
      <c r="CC70" s="9" t="s">
        <v>131</v>
      </c>
      <c r="CD70" s="9"/>
      <c r="CE70" s="9"/>
      <c r="CF70" s="9"/>
      <c r="CG70" s="9"/>
      <c r="CH70" s="9" t="s">
        <v>135</v>
      </c>
      <c r="CI70" s="11">
        <f t="shared" si="127"/>
        <v>37.987398485028748</v>
      </c>
      <c r="CJ70" s="10">
        <f t="shared" si="128"/>
        <v>0.64045762653726124</v>
      </c>
      <c r="CK70" s="10">
        <f t="shared" si="129"/>
        <v>0.36962750716332377</v>
      </c>
      <c r="CL70" s="4">
        <f t="shared" si="130"/>
        <v>4.78</v>
      </c>
      <c r="CM70" s="4">
        <f t="shared" si="131"/>
        <v>9.7683397683397697</v>
      </c>
      <c r="CN70" s="4">
        <f t="shared" si="132"/>
        <v>6.2548262548262548</v>
      </c>
      <c r="CO70" s="4">
        <f t="shared" si="133"/>
        <v>9.2452830188679247</v>
      </c>
      <c r="CP70" s="4">
        <f t="shared" si="134"/>
        <v>4.4240731564484888</v>
      </c>
      <c r="CQ70" s="4">
        <f t="shared" si="135"/>
        <v>6.512455516014235</v>
      </c>
      <c r="CR70" s="4">
        <f t="shared" si="136"/>
        <v>1.6192170818505338</v>
      </c>
      <c r="CS70" s="10">
        <f t="shared" si="137"/>
        <v>1.0576815746088604</v>
      </c>
      <c r="CT70" s="4">
        <f t="shared" si="138"/>
        <v>6.9375</v>
      </c>
      <c r="CU70" s="40">
        <f t="shared" si="145"/>
        <v>768.87751730578441</v>
      </c>
      <c r="CV70" s="40"/>
      <c r="CW70" s="4">
        <f t="shared" si="146"/>
        <v>50.814802801572021</v>
      </c>
      <c r="CX70" s="4">
        <f t="shared" si="147"/>
        <v>2.7165538092537984</v>
      </c>
      <c r="CY70" s="11">
        <f t="shared" si="142"/>
        <v>697.81106779567722</v>
      </c>
      <c r="CZ70" s="11">
        <f t="shared" si="143"/>
        <v>605.96420507454366</v>
      </c>
      <c r="DA70" s="10"/>
      <c r="DB70" s="10"/>
      <c r="DC70" s="10"/>
      <c r="DD70" s="4"/>
      <c r="DE70" s="31"/>
      <c r="DF70" s="31"/>
      <c r="DG70" s="32"/>
      <c r="DH70" s="32"/>
      <c r="DI70" s="11"/>
      <c r="DJ70" s="11"/>
      <c r="DK70" s="9"/>
      <c r="DL70" s="9"/>
      <c r="DM70" s="9"/>
      <c r="DN70" s="9"/>
      <c r="DO70" s="9"/>
      <c r="DP70" s="9"/>
    </row>
    <row r="71" spans="1:120" s="3" customFormat="1" ht="14" customHeight="1">
      <c r="A71" s="3" t="s">
        <v>163</v>
      </c>
      <c r="B71" s="3" t="s">
        <v>92</v>
      </c>
      <c r="C71" s="3" t="s">
        <v>57</v>
      </c>
      <c r="D71" s="4">
        <v>56.25</v>
      </c>
      <c r="E71" s="10">
        <v>1.0569999999999999</v>
      </c>
      <c r="F71" s="4">
        <v>15.51</v>
      </c>
      <c r="G71" s="315">
        <v>8.9809999999999999</v>
      </c>
      <c r="H71" s="10">
        <v>0.124</v>
      </c>
      <c r="I71" s="9">
        <v>4.45</v>
      </c>
      <c r="J71" s="4">
        <v>6.86</v>
      </c>
      <c r="K71" s="10">
        <v>3.51</v>
      </c>
      <c r="L71" s="10">
        <v>0.53</v>
      </c>
      <c r="M71" s="10">
        <v>0.11</v>
      </c>
      <c r="N71" s="9"/>
      <c r="O71" s="9"/>
      <c r="P71" s="9"/>
      <c r="Q71" s="9"/>
      <c r="R71" s="4">
        <f t="shared" si="111"/>
        <v>57.751540041067756</v>
      </c>
      <c r="S71" s="10">
        <f t="shared" si="112"/>
        <v>1.0730964467005075</v>
      </c>
      <c r="T71" s="4">
        <f t="shared" si="113"/>
        <v>15.924024640657084</v>
      </c>
      <c r="U71" s="4">
        <f t="shared" si="114"/>
        <v>9.2207392197125255</v>
      </c>
      <c r="V71" s="10">
        <f t="shared" si="115"/>
        <v>0.12731006160164271</v>
      </c>
      <c r="W71" s="10">
        <f t="shared" si="116"/>
        <v>4.5687885010266935</v>
      </c>
      <c r="X71" s="10">
        <f t="shared" si="117"/>
        <v>7.0431211498973303</v>
      </c>
      <c r="Y71" s="10">
        <f t="shared" si="118"/>
        <v>3.6036960985626281</v>
      </c>
      <c r="Z71" s="10">
        <f t="shared" si="119"/>
        <v>0.54414784394250515</v>
      </c>
      <c r="AA71" s="10">
        <f t="shared" si="120"/>
        <v>0.11293634496919917</v>
      </c>
      <c r="AB71" s="10">
        <f t="shared" si="121"/>
        <v>0</v>
      </c>
      <c r="AC71" s="10">
        <f t="shared" si="122"/>
        <v>0</v>
      </c>
      <c r="AD71" s="10">
        <f t="shared" si="123"/>
        <v>0</v>
      </c>
      <c r="AE71" s="10"/>
      <c r="AF71" s="9"/>
      <c r="AG71" s="9"/>
      <c r="AH71" s="10">
        <v>1.97</v>
      </c>
      <c r="AI71" s="4">
        <v>99.37</v>
      </c>
      <c r="AJ71" s="11">
        <f t="shared" si="124"/>
        <v>4399.787685774947</v>
      </c>
      <c r="AK71" s="11">
        <f t="shared" si="125"/>
        <v>6334.9592447443874</v>
      </c>
      <c r="AL71" s="11">
        <f t="shared" si="144"/>
        <v>480.01972664506127</v>
      </c>
      <c r="AM71" s="9">
        <v>129</v>
      </c>
      <c r="AN71" s="9">
        <v>21</v>
      </c>
      <c r="AO71" s="9">
        <v>19</v>
      </c>
      <c r="AP71" s="9">
        <v>149</v>
      </c>
      <c r="AQ71" s="9">
        <v>138</v>
      </c>
      <c r="AR71" s="9">
        <v>42.3</v>
      </c>
      <c r="AS71" s="9">
        <v>119</v>
      </c>
      <c r="AT71" s="11">
        <v>28.3</v>
      </c>
      <c r="AU71" s="11">
        <v>101</v>
      </c>
      <c r="AV71" s="9">
        <v>19</v>
      </c>
      <c r="AW71" s="9">
        <v>15</v>
      </c>
      <c r="AX71" s="9">
        <v>298</v>
      </c>
      <c r="AY71" s="9">
        <v>21.1</v>
      </c>
      <c r="AZ71" s="9">
        <v>0.1</v>
      </c>
      <c r="BA71" s="4">
        <v>10.7</v>
      </c>
      <c r="BB71" s="4">
        <v>22.4</v>
      </c>
      <c r="BC71" s="4">
        <v>3.03</v>
      </c>
      <c r="BD71" s="4">
        <v>13.3</v>
      </c>
      <c r="BE71" s="4">
        <v>3.58</v>
      </c>
      <c r="BF71" s="4">
        <v>1.1200000000000001</v>
      </c>
      <c r="BG71" s="4">
        <v>4.25</v>
      </c>
      <c r="BH71" s="4">
        <v>0.67</v>
      </c>
      <c r="BI71" s="4">
        <v>3.65</v>
      </c>
      <c r="BJ71" s="4">
        <v>0.7</v>
      </c>
      <c r="BK71" s="4">
        <v>2.08</v>
      </c>
      <c r="BL71" s="10">
        <v>0.31900000000000001</v>
      </c>
      <c r="BM71" s="10">
        <v>1.99</v>
      </c>
      <c r="BN71" s="10">
        <v>0.31</v>
      </c>
      <c r="BO71" s="9">
        <v>2</v>
      </c>
      <c r="BP71" s="9">
        <v>2.4500000000000002</v>
      </c>
      <c r="BQ71" s="9">
        <v>0.66</v>
      </c>
      <c r="BR71" s="9">
        <v>5.3</v>
      </c>
      <c r="BS71" s="9">
        <v>0.49</v>
      </c>
      <c r="BT71" s="9">
        <v>94</v>
      </c>
      <c r="BU71" s="9">
        <v>2.6</v>
      </c>
      <c r="BV71" s="9">
        <v>2.5</v>
      </c>
      <c r="BW71" s="9">
        <v>3</v>
      </c>
      <c r="BX71" s="9" t="s">
        <v>132</v>
      </c>
      <c r="BY71" s="9" t="s">
        <v>130</v>
      </c>
      <c r="BZ71" s="9"/>
      <c r="CA71" s="9"/>
      <c r="CB71" s="9"/>
      <c r="CC71" s="9" t="s">
        <v>131</v>
      </c>
      <c r="CD71" s="9"/>
      <c r="CE71" s="9"/>
      <c r="CF71" s="9"/>
      <c r="CG71" s="9"/>
      <c r="CH71" s="9">
        <v>0.08</v>
      </c>
      <c r="CI71" s="11">
        <f t="shared" si="127"/>
        <v>44.28020451061235</v>
      </c>
      <c r="CJ71" s="10">
        <f t="shared" si="128"/>
        <v>0.62725705074073557</v>
      </c>
      <c r="CK71" s="10">
        <f t="shared" si="129"/>
        <v>0.15099715099715103</v>
      </c>
      <c r="CL71" s="4">
        <f t="shared" si="130"/>
        <v>4.04</v>
      </c>
      <c r="CM71" s="4">
        <f t="shared" si="131"/>
        <v>14.123222748815165</v>
      </c>
      <c r="CN71" s="4">
        <f t="shared" si="132"/>
        <v>4.4549763033175349</v>
      </c>
      <c r="CO71" s="4">
        <f t="shared" si="133"/>
        <v>10.816326530612244</v>
      </c>
      <c r="CP71" s="4">
        <f t="shared" si="134"/>
        <v>3.6526514428683501</v>
      </c>
      <c r="CQ71" s="4">
        <f t="shared" si="135"/>
        <v>5.3768844221105523</v>
      </c>
      <c r="CR71" s="4">
        <f t="shared" si="136"/>
        <v>1.8341708542713568</v>
      </c>
      <c r="CS71" s="10">
        <f t="shared" si="137"/>
        <v>0.87524783540313378</v>
      </c>
      <c r="CT71" s="4">
        <f t="shared" si="138"/>
        <v>7.8421052631578947</v>
      </c>
      <c r="CU71" s="40">
        <f t="shared" si="145"/>
        <v>750.53792475770138</v>
      </c>
      <c r="CV71" s="40"/>
      <c r="CW71" s="4">
        <f t="shared" si="146"/>
        <v>51.641853668225117</v>
      </c>
      <c r="CX71" s="4">
        <f t="shared" si="147"/>
        <v>3.0743571646386374</v>
      </c>
      <c r="CY71" s="11">
        <f t="shared" si="142"/>
        <v>639.52729908282777</v>
      </c>
      <c r="CZ71" s="11">
        <f t="shared" si="143"/>
        <v>538.26238616779699</v>
      </c>
      <c r="DA71" s="10"/>
      <c r="DB71" s="10"/>
      <c r="DC71" s="10"/>
      <c r="DD71" s="4"/>
      <c r="DE71" s="31"/>
      <c r="DF71" s="31"/>
      <c r="DG71" s="32"/>
      <c r="DH71" s="32"/>
      <c r="DI71" s="11"/>
      <c r="DJ71" s="11"/>
      <c r="DK71" s="9"/>
      <c r="DL71" s="9"/>
      <c r="DM71" s="9"/>
      <c r="DN71" s="9"/>
      <c r="DO71" s="9"/>
      <c r="DP71" s="9"/>
    </row>
    <row r="72" spans="1:120" s="3" customFormat="1" ht="14" customHeight="1">
      <c r="A72" s="3" t="s">
        <v>164</v>
      </c>
      <c r="B72" s="3" t="s">
        <v>92</v>
      </c>
      <c r="C72" s="3" t="s">
        <v>57</v>
      </c>
      <c r="D72" s="4">
        <v>57.34</v>
      </c>
      <c r="E72" s="10">
        <v>1.5169999999999999</v>
      </c>
      <c r="F72" s="4">
        <v>14.57</v>
      </c>
      <c r="G72" s="315">
        <v>9.8500000000000014</v>
      </c>
      <c r="H72" s="10">
        <v>0.14000000000000001</v>
      </c>
      <c r="I72" s="9">
        <v>4.3899999999999997</v>
      </c>
      <c r="J72" s="4">
        <v>7.15</v>
      </c>
      <c r="K72" s="10">
        <v>3.31</v>
      </c>
      <c r="L72" s="10">
        <v>0.31</v>
      </c>
      <c r="M72" s="10">
        <v>0.17</v>
      </c>
      <c r="N72" s="9"/>
      <c r="O72" s="9"/>
      <c r="P72" s="9"/>
      <c r="Q72" s="9"/>
      <c r="R72" s="4">
        <f t="shared" si="111"/>
        <v>58.083468395461914</v>
      </c>
      <c r="S72" s="10">
        <f t="shared" si="112"/>
        <v>1.5401015228426396</v>
      </c>
      <c r="T72" s="4">
        <f t="shared" si="113"/>
        <v>14.758914100486225</v>
      </c>
      <c r="U72" s="4">
        <f t="shared" si="114"/>
        <v>9.9777147487844413</v>
      </c>
      <c r="V72" s="10">
        <f t="shared" si="115"/>
        <v>0.14181523500810375</v>
      </c>
      <c r="W72" s="10">
        <f t="shared" si="116"/>
        <v>4.4469205834683949</v>
      </c>
      <c r="X72" s="10">
        <f t="shared" si="117"/>
        <v>7.2427066450567263</v>
      </c>
      <c r="Y72" s="10">
        <f t="shared" si="118"/>
        <v>3.3529173419773097</v>
      </c>
      <c r="Z72" s="10">
        <f t="shared" si="119"/>
        <v>0.3140194489465154</v>
      </c>
      <c r="AA72" s="10">
        <f t="shared" si="120"/>
        <v>0.17220421393841168</v>
      </c>
      <c r="AB72" s="10">
        <f t="shared" si="121"/>
        <v>0</v>
      </c>
      <c r="AC72" s="10">
        <f t="shared" si="122"/>
        <v>0</v>
      </c>
      <c r="AD72" s="10">
        <f t="shared" si="123"/>
        <v>0</v>
      </c>
      <c r="AE72" s="10"/>
      <c r="AF72" s="9"/>
      <c r="AG72" s="9"/>
      <c r="AH72" s="10">
        <v>1.48</v>
      </c>
      <c r="AI72" s="4">
        <v>100.2</v>
      </c>
      <c r="AJ72" s="11">
        <f t="shared" si="124"/>
        <v>2573.4607218683655</v>
      </c>
      <c r="AK72" s="11">
        <f t="shared" si="125"/>
        <v>9091.8951506880203</v>
      </c>
      <c r="AL72" s="11">
        <f t="shared" si="144"/>
        <v>741.84866845145825</v>
      </c>
      <c r="AM72" s="9">
        <v>120</v>
      </c>
      <c r="AN72" s="9">
        <v>13</v>
      </c>
      <c r="AO72" s="9">
        <v>20</v>
      </c>
      <c r="AP72" s="9">
        <v>158</v>
      </c>
      <c r="AQ72" s="9">
        <v>88</v>
      </c>
      <c r="AR72" s="9">
        <v>26.1</v>
      </c>
      <c r="AS72" s="9">
        <v>83</v>
      </c>
      <c r="AT72" s="11">
        <v>34.9</v>
      </c>
      <c r="AU72" s="11">
        <v>56.9</v>
      </c>
      <c r="AV72" s="9">
        <v>19</v>
      </c>
      <c r="AW72" s="9">
        <v>6</v>
      </c>
      <c r="AX72" s="9">
        <v>337</v>
      </c>
      <c r="AY72" s="9">
        <v>24.2</v>
      </c>
      <c r="AZ72" s="9" t="s">
        <v>133</v>
      </c>
      <c r="BA72" s="4">
        <v>16.3</v>
      </c>
      <c r="BB72" s="4">
        <v>40.299999999999997</v>
      </c>
      <c r="BC72" s="4">
        <v>5.86</v>
      </c>
      <c r="BD72" s="4">
        <v>25</v>
      </c>
      <c r="BE72" s="4">
        <v>5.7</v>
      </c>
      <c r="BF72" s="4">
        <v>1.32</v>
      </c>
      <c r="BG72" s="4">
        <v>5.03</v>
      </c>
      <c r="BH72" s="4">
        <v>0.79</v>
      </c>
      <c r="BI72" s="4">
        <v>4.6900000000000004</v>
      </c>
      <c r="BJ72" s="4">
        <v>0.89</v>
      </c>
      <c r="BK72" s="4">
        <v>2.46</v>
      </c>
      <c r="BL72" s="10">
        <v>0.375</v>
      </c>
      <c r="BM72" s="10">
        <v>2.41</v>
      </c>
      <c r="BN72" s="10">
        <v>0.33900000000000002</v>
      </c>
      <c r="BO72" s="9" t="s">
        <v>137</v>
      </c>
      <c r="BP72" s="9">
        <v>3.04</v>
      </c>
      <c r="BQ72" s="9">
        <v>0.68</v>
      </c>
      <c r="BR72" s="9">
        <v>6</v>
      </c>
      <c r="BS72" s="9">
        <v>0.59</v>
      </c>
      <c r="BT72" s="9">
        <v>150</v>
      </c>
      <c r="BU72" s="9">
        <v>3.6</v>
      </c>
      <c r="BV72" s="9">
        <v>1.5</v>
      </c>
      <c r="BW72" s="9">
        <v>2</v>
      </c>
      <c r="BX72" s="9" t="s">
        <v>132</v>
      </c>
      <c r="BY72" s="9" t="s">
        <v>130</v>
      </c>
      <c r="BZ72" s="9"/>
      <c r="CA72" s="9"/>
      <c r="CB72" s="9"/>
      <c r="CC72" s="9" t="s">
        <v>131</v>
      </c>
      <c r="CD72" s="9"/>
      <c r="CE72" s="9"/>
      <c r="CF72" s="9"/>
      <c r="CG72" s="9"/>
      <c r="CH72" s="9" t="s">
        <v>135</v>
      </c>
      <c r="CI72" s="11">
        <f t="shared" si="127"/>
        <v>41.684639176196328</v>
      </c>
      <c r="CJ72" s="10">
        <f t="shared" si="128"/>
        <v>0.59049269066565224</v>
      </c>
      <c r="CK72" s="10">
        <f t="shared" si="129"/>
        <v>9.3655589123867067E-2</v>
      </c>
      <c r="CL72" s="4">
        <f t="shared" si="130"/>
        <v>3.62</v>
      </c>
      <c r="CM72" s="4">
        <f t="shared" si="131"/>
        <v>13.925619834710744</v>
      </c>
      <c r="CN72" s="4">
        <f t="shared" si="132"/>
        <v>6.1983471074380168</v>
      </c>
      <c r="CO72" s="4">
        <f t="shared" si="133"/>
        <v>10.16949152542373</v>
      </c>
      <c r="CP72" s="4">
        <f t="shared" si="134"/>
        <v>4.5946040583363974</v>
      </c>
      <c r="CQ72" s="4">
        <f t="shared" si="135"/>
        <v>6.7634854771784232</v>
      </c>
      <c r="CR72" s="4">
        <f t="shared" si="136"/>
        <v>1.946058091286307</v>
      </c>
      <c r="CS72" s="10">
        <f t="shared" si="137"/>
        <v>0.75145246237259966</v>
      </c>
      <c r="CT72" s="4">
        <f t="shared" si="138"/>
        <v>7.9</v>
      </c>
      <c r="CU72" s="40">
        <f t="shared" si="145"/>
        <v>813.05870313914977</v>
      </c>
      <c r="CV72" s="40"/>
      <c r="CW72" s="4">
        <f t="shared" si="146"/>
        <v>52.536702272590759</v>
      </c>
      <c r="CX72" s="4">
        <f t="shared" si="147"/>
        <v>3.2873505910060925</v>
      </c>
      <c r="CY72" s="11">
        <f t="shared" si="142"/>
        <v>658.3962338773656</v>
      </c>
      <c r="CZ72" s="11">
        <f t="shared" si="143"/>
        <v>552.8679238641862</v>
      </c>
      <c r="DA72" s="10"/>
      <c r="DB72" s="10"/>
      <c r="DC72" s="10"/>
      <c r="DD72" s="4"/>
      <c r="DE72" s="31"/>
      <c r="DF72" s="31"/>
      <c r="DG72" s="32"/>
      <c r="DH72" s="32"/>
      <c r="DI72" s="11"/>
      <c r="DJ72" s="11"/>
      <c r="DK72" s="9"/>
      <c r="DL72" s="9"/>
      <c r="DM72" s="9"/>
      <c r="DN72" s="9"/>
      <c r="DO72" s="9"/>
      <c r="DP72" s="9"/>
    </row>
    <row r="73" spans="1:120" s="3" customFormat="1" ht="14" customHeight="1">
      <c r="A73" s="3" t="s">
        <v>165</v>
      </c>
      <c r="B73" s="3" t="s">
        <v>92</v>
      </c>
      <c r="C73" s="3" t="s">
        <v>166</v>
      </c>
      <c r="D73" s="4">
        <v>53.31</v>
      </c>
      <c r="E73" s="10">
        <v>1.61</v>
      </c>
      <c r="F73" s="4">
        <v>14.23</v>
      </c>
      <c r="G73" s="315">
        <v>11.006</v>
      </c>
      <c r="H73" s="10">
        <v>0.183</v>
      </c>
      <c r="I73" s="9">
        <v>4.13</v>
      </c>
      <c r="J73" s="4">
        <v>8.18</v>
      </c>
      <c r="K73" s="10">
        <v>4.3</v>
      </c>
      <c r="L73" s="10">
        <v>0.49</v>
      </c>
      <c r="M73" s="10">
        <v>0.41</v>
      </c>
      <c r="N73" s="9"/>
      <c r="O73" s="9"/>
      <c r="P73" s="9"/>
      <c r="Q73" s="9"/>
      <c r="R73" s="4">
        <f t="shared" si="111"/>
        <v>54.470215592111991</v>
      </c>
      <c r="S73" s="10">
        <f t="shared" si="112"/>
        <v>1.6345177664974619</v>
      </c>
      <c r="T73" s="4">
        <f t="shared" si="113"/>
        <v>14.539695514457955</v>
      </c>
      <c r="U73" s="4">
        <f t="shared" si="114"/>
        <v>11.245529784407887</v>
      </c>
      <c r="V73" s="10">
        <f t="shared" si="115"/>
        <v>0.18698273219576991</v>
      </c>
      <c r="W73" s="10">
        <f t="shared" si="116"/>
        <v>4.2198835189537149</v>
      </c>
      <c r="X73" s="10">
        <f t="shared" si="117"/>
        <v>8.3580259527945238</v>
      </c>
      <c r="Y73" s="10">
        <f t="shared" si="118"/>
        <v>4.3935833248186373</v>
      </c>
      <c r="Z73" s="10">
        <f t="shared" si="119"/>
        <v>0.50066414631654244</v>
      </c>
      <c r="AA73" s="10">
        <f t="shared" si="120"/>
        <v>0.41892306120363754</v>
      </c>
      <c r="AB73" s="10">
        <f t="shared" si="121"/>
        <v>0</v>
      </c>
      <c r="AC73" s="10">
        <f t="shared" si="122"/>
        <v>0</v>
      </c>
      <c r="AD73" s="10">
        <f t="shared" si="123"/>
        <v>0</v>
      </c>
      <c r="AE73" s="10"/>
      <c r="AF73" s="9"/>
      <c r="AG73" s="9"/>
      <c r="AH73" s="10">
        <v>2.04</v>
      </c>
      <c r="AI73" s="4">
        <v>99.91</v>
      </c>
      <c r="AJ73" s="11">
        <f t="shared" si="124"/>
        <v>4067.7282377919314</v>
      </c>
      <c r="AK73" s="11">
        <f t="shared" si="125"/>
        <v>9649.2756708027118</v>
      </c>
      <c r="AL73" s="11">
        <f t="shared" si="144"/>
        <v>1789.1644356770466</v>
      </c>
      <c r="AM73" s="9">
        <v>102</v>
      </c>
      <c r="AN73" s="9">
        <v>14</v>
      </c>
      <c r="AO73" s="9">
        <v>27</v>
      </c>
      <c r="AP73" s="9">
        <v>161</v>
      </c>
      <c r="AQ73" s="9">
        <v>67</v>
      </c>
      <c r="AR73" s="9">
        <v>22.1</v>
      </c>
      <c r="AS73" s="9">
        <v>39</v>
      </c>
      <c r="AT73" s="11">
        <v>41.5</v>
      </c>
      <c r="AU73" s="11">
        <v>69.8</v>
      </c>
      <c r="AV73" s="9">
        <v>22</v>
      </c>
      <c r="AW73" s="9">
        <v>11</v>
      </c>
      <c r="AX73" s="9">
        <v>449</v>
      </c>
      <c r="AY73" s="9">
        <v>36.799999999999997</v>
      </c>
      <c r="AZ73" s="9">
        <v>0.2</v>
      </c>
      <c r="BA73" s="4">
        <v>16.5</v>
      </c>
      <c r="BB73" s="4">
        <v>47</v>
      </c>
      <c r="BC73" s="4">
        <v>6.54</v>
      </c>
      <c r="BD73" s="4">
        <v>29</v>
      </c>
      <c r="BE73" s="4">
        <v>6.79</v>
      </c>
      <c r="BF73" s="4">
        <v>1.7</v>
      </c>
      <c r="BG73" s="4">
        <v>6.79</v>
      </c>
      <c r="BH73" s="4">
        <v>1.1200000000000001</v>
      </c>
      <c r="BI73" s="4">
        <v>6.75</v>
      </c>
      <c r="BJ73" s="4">
        <v>1.36</v>
      </c>
      <c r="BK73" s="4">
        <v>3.91</v>
      </c>
      <c r="BL73" s="10">
        <v>0.57699999999999996</v>
      </c>
      <c r="BM73" s="10">
        <v>3.82</v>
      </c>
      <c r="BN73" s="10">
        <v>0.57399999999999995</v>
      </c>
      <c r="BO73" s="9">
        <v>2</v>
      </c>
      <c r="BP73" s="9">
        <v>2.2599999999999998</v>
      </c>
      <c r="BQ73" s="9">
        <v>0.57999999999999996</v>
      </c>
      <c r="BR73" s="9">
        <v>5.3</v>
      </c>
      <c r="BS73" s="9">
        <v>0.38</v>
      </c>
      <c r="BT73" s="9"/>
      <c r="BU73" s="9">
        <v>3.5</v>
      </c>
      <c r="BV73" s="9">
        <v>2</v>
      </c>
      <c r="BW73" s="9">
        <v>3</v>
      </c>
      <c r="BX73" s="9" t="s">
        <v>132</v>
      </c>
      <c r="BY73" s="9" t="s">
        <v>130</v>
      </c>
      <c r="BZ73" s="9">
        <v>1.4</v>
      </c>
      <c r="CA73" s="9">
        <v>7.0000000000000007E-2</v>
      </c>
      <c r="CB73" s="9">
        <v>9</v>
      </c>
      <c r="CC73" s="9" t="s">
        <v>131</v>
      </c>
      <c r="CD73" s="9"/>
      <c r="CE73" s="9">
        <v>0.04</v>
      </c>
      <c r="CF73" s="9">
        <v>0.3</v>
      </c>
      <c r="CG73" s="9" t="s">
        <v>134</v>
      </c>
      <c r="CH73" s="9" t="s">
        <v>135</v>
      </c>
      <c r="CI73" s="11">
        <f t="shared" si="127"/>
        <v>37.5720238125216</v>
      </c>
      <c r="CJ73" s="10">
        <f t="shared" si="128"/>
        <v>0.48187620145812787</v>
      </c>
      <c r="CK73" s="10">
        <f t="shared" si="129"/>
        <v>0.11395348837209303</v>
      </c>
      <c r="CL73" s="4">
        <f t="shared" si="130"/>
        <v>4.79</v>
      </c>
      <c r="CM73" s="4">
        <f t="shared" si="131"/>
        <v>12.20108695652174</v>
      </c>
      <c r="CN73" s="4"/>
      <c r="CO73" s="4">
        <f t="shared" si="133"/>
        <v>13.94736842105263</v>
      </c>
      <c r="CP73" s="4">
        <f t="shared" si="134"/>
        <v>2.9342567433229512</v>
      </c>
      <c r="CQ73" s="4">
        <f t="shared" si="135"/>
        <v>4.3193717277486909</v>
      </c>
      <c r="CR73" s="4">
        <f t="shared" si="136"/>
        <v>1.7670157068062828</v>
      </c>
      <c r="CS73" s="10">
        <f t="shared" si="137"/>
        <v>0.76318205160795116</v>
      </c>
      <c r="CT73" s="4">
        <f t="shared" si="138"/>
        <v>5.9629629629629628</v>
      </c>
      <c r="CU73" s="40">
        <f t="shared" si="145"/>
        <v>866.53324910543745</v>
      </c>
      <c r="CV73" s="40"/>
      <c r="CW73" s="4">
        <f t="shared" si="146"/>
        <v>52.084053661933496</v>
      </c>
      <c r="CX73" s="4">
        <f t="shared" si="147"/>
        <v>4.2430216813200561</v>
      </c>
      <c r="CY73" s="11"/>
      <c r="CZ73" s="11"/>
      <c r="DA73" s="4"/>
      <c r="DB73" s="10"/>
      <c r="DC73" s="10"/>
      <c r="DD73" s="4"/>
      <c r="DE73" s="31"/>
      <c r="DF73" s="31"/>
      <c r="DG73" s="32"/>
      <c r="DH73" s="32"/>
      <c r="DI73" s="11"/>
      <c r="DJ73" s="11"/>
      <c r="DK73" s="9"/>
      <c r="DL73" s="9"/>
      <c r="DM73" s="9"/>
      <c r="DN73" s="9"/>
      <c r="DO73" s="9"/>
      <c r="DP73" s="9"/>
    </row>
    <row r="74" spans="1:120" s="3" customFormat="1" ht="14" customHeight="1">
      <c r="A74" s="3" t="s">
        <v>167</v>
      </c>
      <c r="B74" s="3" t="s">
        <v>92</v>
      </c>
      <c r="C74" s="3" t="s">
        <v>166</v>
      </c>
      <c r="D74" s="4">
        <v>54.27</v>
      </c>
      <c r="E74" s="10">
        <v>2.536</v>
      </c>
      <c r="F74" s="4">
        <v>13.89</v>
      </c>
      <c r="G74" s="315">
        <v>11.126000000000001</v>
      </c>
      <c r="H74" s="10">
        <v>0.122</v>
      </c>
      <c r="I74" s="9">
        <v>3.32</v>
      </c>
      <c r="J74" s="4">
        <v>9.01</v>
      </c>
      <c r="K74" s="10">
        <v>3.55</v>
      </c>
      <c r="L74" s="10">
        <v>0.49</v>
      </c>
      <c r="M74" s="10">
        <v>0.26</v>
      </c>
      <c r="N74" s="9"/>
      <c r="O74" s="9"/>
      <c r="P74" s="9"/>
      <c r="Q74" s="9"/>
      <c r="R74" s="4">
        <f t="shared" si="111"/>
        <v>55.06290584415585</v>
      </c>
      <c r="S74" s="10">
        <f t="shared" si="112"/>
        <v>2.5746192893401014</v>
      </c>
      <c r="T74" s="4">
        <f t="shared" si="113"/>
        <v>14.092938311688313</v>
      </c>
      <c r="U74" s="4">
        <f t="shared" si="114"/>
        <v>11.288555194805198</v>
      </c>
      <c r="V74" s="10">
        <f t="shared" si="115"/>
        <v>0.12378246753246754</v>
      </c>
      <c r="W74" s="10">
        <f t="shared" si="116"/>
        <v>3.3685064935064939</v>
      </c>
      <c r="X74" s="10">
        <f t="shared" si="117"/>
        <v>9.1416396103896123</v>
      </c>
      <c r="Y74" s="10">
        <f t="shared" si="118"/>
        <v>3.6018668831168834</v>
      </c>
      <c r="Z74" s="10">
        <f t="shared" si="119"/>
        <v>0.49715909090909099</v>
      </c>
      <c r="AA74" s="10">
        <f t="shared" si="120"/>
        <v>0.26379870129870131</v>
      </c>
      <c r="AB74" s="10">
        <f t="shared" si="121"/>
        <v>0</v>
      </c>
      <c r="AC74" s="10">
        <f t="shared" si="122"/>
        <v>0</v>
      </c>
      <c r="AD74" s="10">
        <f t="shared" si="123"/>
        <v>0</v>
      </c>
      <c r="AE74" s="10"/>
      <c r="AF74" s="9"/>
      <c r="AG74" s="9"/>
      <c r="AH74" s="10">
        <v>2.04</v>
      </c>
      <c r="AI74" s="4">
        <v>100.6</v>
      </c>
      <c r="AJ74" s="11">
        <f t="shared" si="124"/>
        <v>4067.7282377919314</v>
      </c>
      <c r="AK74" s="11">
        <f t="shared" si="125"/>
        <v>15199.10751624576</v>
      </c>
      <c r="AL74" s="11">
        <f t="shared" si="144"/>
        <v>1134.5920811610538</v>
      </c>
      <c r="AM74" s="9">
        <v>77</v>
      </c>
      <c r="AN74" s="9">
        <v>14</v>
      </c>
      <c r="AO74" s="9">
        <v>35</v>
      </c>
      <c r="AP74" s="9">
        <v>195</v>
      </c>
      <c r="AQ74" s="9">
        <v>12</v>
      </c>
      <c r="AR74" s="9">
        <v>25.5</v>
      </c>
      <c r="AS74" s="9">
        <v>28</v>
      </c>
      <c r="AT74" s="11">
        <v>222</v>
      </c>
      <c r="AU74" s="11">
        <v>66.3</v>
      </c>
      <c r="AV74" s="9">
        <v>23</v>
      </c>
      <c r="AW74" s="9">
        <v>18</v>
      </c>
      <c r="AX74" s="9">
        <v>220</v>
      </c>
      <c r="AY74" s="9">
        <v>49.6</v>
      </c>
      <c r="AZ74" s="9">
        <v>0.7</v>
      </c>
      <c r="BA74" s="4">
        <v>27.5</v>
      </c>
      <c r="BB74" s="4">
        <v>83.1</v>
      </c>
      <c r="BC74" s="4">
        <v>11.3</v>
      </c>
      <c r="BD74" s="4">
        <v>44.2</v>
      </c>
      <c r="BE74" s="4">
        <v>9.75</v>
      </c>
      <c r="BF74" s="4">
        <v>2.75</v>
      </c>
      <c r="BG74" s="4">
        <v>9.7100000000000009</v>
      </c>
      <c r="BH74" s="4">
        <v>1.5</v>
      </c>
      <c r="BI74" s="4">
        <v>8.5</v>
      </c>
      <c r="BJ74" s="4">
        <v>1.75</v>
      </c>
      <c r="BK74" s="4">
        <v>5.07</v>
      </c>
      <c r="BL74" s="10">
        <v>0.79300000000000004</v>
      </c>
      <c r="BM74" s="10">
        <v>5.22</v>
      </c>
      <c r="BN74" s="10">
        <v>0.77800000000000002</v>
      </c>
      <c r="BO74" s="9">
        <v>4</v>
      </c>
      <c r="BP74" s="9">
        <v>2.12</v>
      </c>
      <c r="BQ74" s="9">
        <v>2.3199999999999998</v>
      </c>
      <c r="BR74" s="9">
        <v>10.5</v>
      </c>
      <c r="BS74" s="9">
        <v>0.55000000000000004</v>
      </c>
      <c r="BT74" s="9">
        <v>133</v>
      </c>
      <c r="BU74" s="9">
        <v>3.3</v>
      </c>
      <c r="BV74" s="9">
        <v>3</v>
      </c>
      <c r="BW74" s="9">
        <v>22</v>
      </c>
      <c r="BX74" s="9" t="s">
        <v>132</v>
      </c>
      <c r="BY74" s="9" t="s">
        <v>130</v>
      </c>
      <c r="BZ74" s="9"/>
      <c r="CA74" s="9"/>
      <c r="CB74" s="9"/>
      <c r="CC74" s="9">
        <v>0.2</v>
      </c>
      <c r="CD74" s="9"/>
      <c r="CE74" s="9"/>
      <c r="CF74" s="9"/>
      <c r="CG74" s="9"/>
      <c r="CH74" s="9">
        <v>7.0000000000000007E-2</v>
      </c>
      <c r="CI74" s="11">
        <f t="shared" si="127"/>
        <v>32.368009216477112</v>
      </c>
      <c r="CJ74" s="10">
        <f t="shared" si="128"/>
        <v>0.46467211157406341</v>
      </c>
      <c r="CK74" s="10">
        <f t="shared" si="129"/>
        <v>0.13802816901408452</v>
      </c>
      <c r="CL74" s="4">
        <f t="shared" si="130"/>
        <v>4.04</v>
      </c>
      <c r="CM74" s="4">
        <f t="shared" si="131"/>
        <v>4.435483870967742</v>
      </c>
      <c r="CN74" s="4">
        <f t="shared" si="132"/>
        <v>2.6814516129032255</v>
      </c>
      <c r="CO74" s="4">
        <f t="shared" si="133"/>
        <v>19.09090909090909</v>
      </c>
      <c r="CP74" s="4">
        <f t="shared" si="134"/>
        <v>3.5788188887272256</v>
      </c>
      <c r="CQ74" s="4">
        <f t="shared" si="135"/>
        <v>5.2681992337164756</v>
      </c>
      <c r="CR74" s="4">
        <f t="shared" si="136"/>
        <v>1.6283524904214559</v>
      </c>
      <c r="CS74" s="10">
        <f t="shared" si="137"/>
        <v>0.86152874454315764</v>
      </c>
      <c r="CT74" s="4">
        <f t="shared" si="138"/>
        <v>5.5714285714285712</v>
      </c>
      <c r="CU74" s="40">
        <f t="shared" si="145"/>
        <v>820.46593429610323</v>
      </c>
      <c r="CV74" s="40"/>
      <c r="CW74" s="4">
        <f t="shared" si="146"/>
        <v>52.609983634207893</v>
      </c>
      <c r="CX74" s="4">
        <f t="shared" si="147"/>
        <v>4.4908291711528792</v>
      </c>
      <c r="CY74" s="11">
        <f t="shared" si="142"/>
        <v>587.35558300113962</v>
      </c>
      <c r="CZ74" s="11">
        <f t="shared" si="143"/>
        <v>461.79853773155321</v>
      </c>
      <c r="DA74" s="4"/>
      <c r="DB74" s="10"/>
      <c r="DC74" s="10"/>
      <c r="DD74" s="4"/>
      <c r="DE74" s="31"/>
      <c r="DF74" s="31"/>
      <c r="DG74" s="32"/>
      <c r="DH74" s="32"/>
      <c r="DI74" s="11"/>
      <c r="DJ74" s="11"/>
      <c r="DK74" s="9"/>
      <c r="DL74" s="9"/>
      <c r="DM74" s="9"/>
      <c r="DN74" s="9"/>
      <c r="DO74" s="9"/>
      <c r="DP74" s="9"/>
    </row>
    <row r="75" spans="1:120" s="3" customFormat="1" ht="14" customHeight="1">
      <c r="A75" s="3" t="s">
        <v>168</v>
      </c>
      <c r="B75" s="3" t="s">
        <v>92</v>
      </c>
      <c r="C75" s="3" t="s">
        <v>166</v>
      </c>
      <c r="D75" s="4">
        <v>53.67</v>
      </c>
      <c r="E75" s="10">
        <v>1.571</v>
      </c>
      <c r="F75" s="4">
        <v>14.84</v>
      </c>
      <c r="G75" s="315">
        <v>9.0109999999999992</v>
      </c>
      <c r="H75" s="10">
        <v>0.13600000000000001</v>
      </c>
      <c r="I75" s="9">
        <v>5.21</v>
      </c>
      <c r="J75" s="4">
        <v>8.5299999999999994</v>
      </c>
      <c r="K75" s="10">
        <v>4.1500000000000004</v>
      </c>
      <c r="L75" s="10">
        <v>0.56000000000000005</v>
      </c>
      <c r="M75" s="10">
        <v>0.24</v>
      </c>
      <c r="N75" s="9"/>
      <c r="O75" s="9"/>
      <c r="P75" s="9"/>
      <c r="Q75" s="9"/>
      <c r="R75" s="4">
        <f t="shared" si="111"/>
        <v>54.80445215970591</v>
      </c>
      <c r="S75" s="10">
        <f t="shared" si="112"/>
        <v>1.5949238578680203</v>
      </c>
      <c r="T75" s="4">
        <f t="shared" si="113"/>
        <v>15.153681200857754</v>
      </c>
      <c r="U75" s="4">
        <f t="shared" si="114"/>
        <v>9.2014704380680055</v>
      </c>
      <c r="V75" s="10">
        <f t="shared" si="115"/>
        <v>0.13887470642295519</v>
      </c>
      <c r="W75" s="10">
        <f t="shared" si="116"/>
        <v>5.3201266210558558</v>
      </c>
      <c r="X75" s="10">
        <f t="shared" si="117"/>
        <v>8.7103032778515246</v>
      </c>
      <c r="Y75" s="10">
        <f t="shared" si="118"/>
        <v>4.2377208209945882</v>
      </c>
      <c r="Z75" s="10">
        <f t="shared" si="119"/>
        <v>0.57183702644746248</v>
      </c>
      <c r="AA75" s="10">
        <f t="shared" si="120"/>
        <v>0.24507301133462675</v>
      </c>
      <c r="AB75" s="10">
        <f t="shared" si="121"/>
        <v>0</v>
      </c>
      <c r="AC75" s="10">
        <f t="shared" si="122"/>
        <v>0</v>
      </c>
      <c r="AD75" s="10">
        <f t="shared" si="123"/>
        <v>0</v>
      </c>
      <c r="AE75" s="10"/>
      <c r="AF75" s="9"/>
      <c r="AG75" s="9"/>
      <c r="AH75" s="10">
        <v>0.99</v>
      </c>
      <c r="AI75" s="4">
        <v>98.92</v>
      </c>
      <c r="AJ75" s="11">
        <f t="shared" si="124"/>
        <v>4648.8322717622086</v>
      </c>
      <c r="AK75" s="11">
        <f t="shared" si="125"/>
        <v>9415.5354526900974</v>
      </c>
      <c r="AL75" s="11">
        <f t="shared" si="144"/>
        <v>1047.3157672255882</v>
      </c>
      <c r="AM75" s="9">
        <v>64</v>
      </c>
      <c r="AN75" s="9">
        <v>10</v>
      </c>
      <c r="AO75" s="9">
        <v>21</v>
      </c>
      <c r="AP75" s="9">
        <v>162</v>
      </c>
      <c r="AQ75" s="9">
        <v>101</v>
      </c>
      <c r="AR75" s="9">
        <v>25.3</v>
      </c>
      <c r="AS75" s="9">
        <v>106</v>
      </c>
      <c r="AT75" s="11">
        <v>82.4</v>
      </c>
      <c r="AU75" s="11">
        <v>51.4</v>
      </c>
      <c r="AV75" s="9">
        <v>21</v>
      </c>
      <c r="AW75" s="9">
        <v>28</v>
      </c>
      <c r="AX75" s="9">
        <v>204</v>
      </c>
      <c r="AY75" s="9">
        <v>30.2</v>
      </c>
      <c r="AZ75" s="9">
        <v>0.3</v>
      </c>
      <c r="BA75" s="4">
        <v>24.8</v>
      </c>
      <c r="BB75" s="4">
        <v>63.5</v>
      </c>
      <c r="BC75" s="4">
        <v>9</v>
      </c>
      <c r="BD75" s="4">
        <v>37.700000000000003</v>
      </c>
      <c r="BE75" s="4">
        <v>7.4</v>
      </c>
      <c r="BF75" s="4">
        <v>1.31</v>
      </c>
      <c r="BG75" s="4">
        <v>6.42</v>
      </c>
      <c r="BH75" s="4">
        <v>0.96</v>
      </c>
      <c r="BI75" s="4">
        <v>5.58</v>
      </c>
      <c r="BJ75" s="4">
        <v>1</v>
      </c>
      <c r="BK75" s="4">
        <v>2.85</v>
      </c>
      <c r="BL75" s="10">
        <v>0.45400000000000001</v>
      </c>
      <c r="BM75" s="10">
        <v>2.77</v>
      </c>
      <c r="BN75" s="10">
        <v>0.35199999999999998</v>
      </c>
      <c r="BO75" s="9" t="s">
        <v>137</v>
      </c>
      <c r="BP75" s="9">
        <v>1.29</v>
      </c>
      <c r="BQ75" s="9">
        <v>0.43</v>
      </c>
      <c r="BR75" s="9">
        <v>7.9</v>
      </c>
      <c r="BS75" s="9">
        <v>0.55000000000000004</v>
      </c>
      <c r="BT75" s="9">
        <v>115</v>
      </c>
      <c r="BU75" s="9">
        <v>2.6</v>
      </c>
      <c r="BV75" s="9">
        <v>2.2999999999999998</v>
      </c>
      <c r="BW75" s="9">
        <v>7</v>
      </c>
      <c r="BX75" s="9">
        <v>3.6</v>
      </c>
      <c r="BY75" s="9" t="s">
        <v>130</v>
      </c>
      <c r="BZ75" s="9"/>
      <c r="CA75" s="9"/>
      <c r="CB75" s="9"/>
      <c r="CC75" s="9" t="s">
        <v>131</v>
      </c>
      <c r="CD75" s="9"/>
      <c r="CE75" s="9"/>
      <c r="CF75" s="9"/>
      <c r="CG75" s="9"/>
      <c r="CH75" s="9" t="s">
        <v>135</v>
      </c>
      <c r="CI75" s="11">
        <f t="shared" si="127"/>
        <v>48.114474276008458</v>
      </c>
      <c r="CJ75" s="10">
        <f t="shared" si="128"/>
        <v>0.49233944057258389</v>
      </c>
      <c r="CK75" s="10">
        <f t="shared" si="129"/>
        <v>0.13493975903614458</v>
      </c>
      <c r="CL75" s="4">
        <f t="shared" si="130"/>
        <v>4.7100000000000009</v>
      </c>
      <c r="CM75" s="4">
        <f t="shared" si="131"/>
        <v>6.7549668874172184</v>
      </c>
      <c r="CN75" s="4">
        <f t="shared" si="132"/>
        <v>3.8079470198675498</v>
      </c>
      <c r="CO75" s="4">
        <f t="shared" si="133"/>
        <v>14.363636363636363</v>
      </c>
      <c r="CP75" s="4">
        <f t="shared" si="134"/>
        <v>6.0820423768831215</v>
      </c>
      <c r="CQ75" s="4">
        <f t="shared" si="135"/>
        <v>8.9530685920577611</v>
      </c>
      <c r="CR75" s="4">
        <f t="shared" si="136"/>
        <v>2.0144404332129966</v>
      </c>
      <c r="CS75" s="10">
        <f t="shared" si="137"/>
        <v>0.5793445459638179</v>
      </c>
      <c r="CT75" s="4">
        <f t="shared" si="138"/>
        <v>7.7142857142857144</v>
      </c>
      <c r="CU75" s="40">
        <f t="shared" si="145"/>
        <v>801.58741700094572</v>
      </c>
      <c r="CV75" s="40"/>
      <c r="CW75" s="4">
        <f t="shared" si="146"/>
        <v>52.503824351945362</v>
      </c>
      <c r="CX75" s="4">
        <f t="shared" si="147"/>
        <v>4.1930288259628758</v>
      </c>
      <c r="CY75" s="11">
        <f t="shared" si="142"/>
        <v>593.58315413708783</v>
      </c>
      <c r="CZ75" s="11">
        <f t="shared" si="143"/>
        <v>472.6455380627018</v>
      </c>
      <c r="DA75" s="10"/>
      <c r="DB75" s="10"/>
      <c r="DC75" s="10"/>
      <c r="DD75" s="4"/>
      <c r="DE75" s="31"/>
      <c r="DF75" s="31"/>
      <c r="DG75" s="32"/>
      <c r="DH75" s="32"/>
      <c r="DI75" s="11"/>
      <c r="DJ75" s="11"/>
      <c r="DK75" s="9"/>
      <c r="DL75" s="9"/>
      <c r="DM75" s="9"/>
      <c r="DN75" s="9"/>
      <c r="DO75" s="9"/>
      <c r="DP75" s="9"/>
    </row>
    <row r="76" spans="1:120" s="3" customFormat="1" ht="14" customHeight="1">
      <c r="A76" s="3" t="s">
        <v>169</v>
      </c>
      <c r="B76" s="3" t="s">
        <v>92</v>
      </c>
      <c r="C76" s="3" t="s">
        <v>166</v>
      </c>
      <c r="D76" s="4">
        <v>53.13</v>
      </c>
      <c r="E76" s="10">
        <v>1.657</v>
      </c>
      <c r="F76" s="4">
        <v>13.85</v>
      </c>
      <c r="G76" s="315">
        <v>12.649000000000001</v>
      </c>
      <c r="H76" s="10">
        <v>0.23400000000000001</v>
      </c>
      <c r="I76" s="9">
        <v>4.72</v>
      </c>
      <c r="J76" s="4">
        <v>8.4</v>
      </c>
      <c r="K76" s="10">
        <v>3.55</v>
      </c>
      <c r="L76" s="10">
        <v>0.45</v>
      </c>
      <c r="M76" s="10">
        <v>0.44</v>
      </c>
      <c r="N76" s="9"/>
      <c r="O76" s="9"/>
      <c r="P76" s="9"/>
      <c r="Q76" s="9"/>
      <c r="R76" s="4">
        <f t="shared" si="111"/>
        <v>53.639575971731439</v>
      </c>
      <c r="S76" s="10">
        <f t="shared" si="112"/>
        <v>1.682233502538071</v>
      </c>
      <c r="T76" s="4">
        <f t="shared" si="113"/>
        <v>13.982836951034828</v>
      </c>
      <c r="U76" s="4">
        <f t="shared" si="114"/>
        <v>12.770318021201414</v>
      </c>
      <c r="V76" s="10">
        <f t="shared" si="115"/>
        <v>0.23624432104997475</v>
      </c>
      <c r="W76" s="10">
        <f t="shared" si="116"/>
        <v>4.7652700656234224</v>
      </c>
      <c r="X76" s="10">
        <f t="shared" si="117"/>
        <v>8.4805653710247348</v>
      </c>
      <c r="Y76" s="10">
        <f t="shared" si="118"/>
        <v>3.5840484603735483</v>
      </c>
      <c r="Z76" s="10">
        <f t="shared" si="119"/>
        <v>0.45431600201918215</v>
      </c>
      <c r="AA76" s="10">
        <f t="shared" si="120"/>
        <v>0.44422009086320036</v>
      </c>
      <c r="AB76" s="10">
        <f t="shared" si="121"/>
        <v>0</v>
      </c>
      <c r="AC76" s="10">
        <f t="shared" si="122"/>
        <v>0</v>
      </c>
      <c r="AD76" s="10">
        <f t="shared" si="123"/>
        <v>0</v>
      </c>
      <c r="AE76" s="10"/>
      <c r="AF76" s="9"/>
      <c r="AG76" s="9"/>
      <c r="AH76" s="10">
        <v>1.35</v>
      </c>
      <c r="AI76" s="4">
        <v>100.4</v>
      </c>
      <c r="AJ76" s="11">
        <f t="shared" si="124"/>
        <v>3735.6687898089176</v>
      </c>
      <c r="AK76" s="11">
        <f t="shared" si="125"/>
        <v>9930.9626003230369</v>
      </c>
      <c r="AL76" s="11">
        <f t="shared" si="144"/>
        <v>1920.0789065802451</v>
      </c>
      <c r="AM76" s="9">
        <v>69</v>
      </c>
      <c r="AN76" s="9">
        <v>13</v>
      </c>
      <c r="AO76" s="9">
        <v>31</v>
      </c>
      <c r="AP76" s="9">
        <v>167</v>
      </c>
      <c r="AQ76" s="9">
        <v>122</v>
      </c>
      <c r="AR76" s="9">
        <v>34.700000000000003</v>
      </c>
      <c r="AS76" s="9">
        <v>52</v>
      </c>
      <c r="AT76" s="11">
        <v>43.1</v>
      </c>
      <c r="AU76" s="11">
        <v>87.4</v>
      </c>
      <c r="AV76" s="9">
        <v>18</v>
      </c>
      <c r="AW76" s="9">
        <v>9</v>
      </c>
      <c r="AX76" s="9">
        <v>209</v>
      </c>
      <c r="AY76" s="9">
        <v>44.2</v>
      </c>
      <c r="AZ76" s="9">
        <v>0.1</v>
      </c>
      <c r="BA76" s="4">
        <v>17.8</v>
      </c>
      <c r="BB76" s="4">
        <v>44.2</v>
      </c>
      <c r="BC76" s="4">
        <v>6.68</v>
      </c>
      <c r="BD76" s="4">
        <v>31.6</v>
      </c>
      <c r="BE76" s="4">
        <v>7.96</v>
      </c>
      <c r="BF76" s="4">
        <v>1.55</v>
      </c>
      <c r="BG76" s="4">
        <v>8.66</v>
      </c>
      <c r="BH76" s="4">
        <v>1.44</v>
      </c>
      <c r="BI76" s="4">
        <v>8.58</v>
      </c>
      <c r="BJ76" s="4">
        <v>1.65</v>
      </c>
      <c r="BK76" s="4">
        <v>4.42</v>
      </c>
      <c r="BL76" s="10">
        <v>0.67300000000000004</v>
      </c>
      <c r="BM76" s="10">
        <v>4.33</v>
      </c>
      <c r="BN76" s="10">
        <v>0.61399999999999999</v>
      </c>
      <c r="BO76" s="9">
        <v>3</v>
      </c>
      <c r="BP76" s="9">
        <v>1.93</v>
      </c>
      <c r="BQ76" s="9">
        <v>0.59</v>
      </c>
      <c r="BR76" s="9">
        <v>8.4</v>
      </c>
      <c r="BS76" s="9">
        <v>0.64</v>
      </c>
      <c r="BT76" s="9">
        <v>69</v>
      </c>
      <c r="BU76" s="9">
        <v>2</v>
      </c>
      <c r="BV76" s="9">
        <v>2.8</v>
      </c>
      <c r="BW76" s="9">
        <v>4</v>
      </c>
      <c r="BX76" s="9">
        <v>1.1000000000000001</v>
      </c>
      <c r="BY76" s="9" t="s">
        <v>130</v>
      </c>
      <c r="BZ76" s="9"/>
      <c r="CA76" s="9"/>
      <c r="CB76" s="9"/>
      <c r="CC76" s="9" t="s">
        <v>131</v>
      </c>
      <c r="CD76" s="9"/>
      <c r="CE76" s="9"/>
      <c r="CF76" s="9"/>
      <c r="CG76" s="9"/>
      <c r="CH76" s="9" t="s">
        <v>135</v>
      </c>
      <c r="CI76" s="11">
        <f t="shared" si="127"/>
        <v>37.440619992333033</v>
      </c>
      <c r="CJ76" s="10">
        <f t="shared" si="128"/>
        <v>0.48805349097053591</v>
      </c>
      <c r="CK76" s="10">
        <f t="shared" si="129"/>
        <v>0.12676056338028169</v>
      </c>
      <c r="CL76" s="4">
        <f t="shared" si="130"/>
        <v>4</v>
      </c>
      <c r="CM76" s="4">
        <f t="shared" si="131"/>
        <v>4.7285067873303168</v>
      </c>
      <c r="CN76" s="4">
        <f t="shared" si="132"/>
        <v>1.5610859728506787</v>
      </c>
      <c r="CO76" s="4">
        <f t="shared" si="133"/>
        <v>13.125</v>
      </c>
      <c r="CP76" s="4">
        <f t="shared" si="134"/>
        <v>2.7926058019313791</v>
      </c>
      <c r="CQ76" s="4">
        <f t="shared" si="135"/>
        <v>4.1108545034642034</v>
      </c>
      <c r="CR76" s="4">
        <f t="shared" si="136"/>
        <v>1.9815242494226328</v>
      </c>
      <c r="CS76" s="10">
        <f t="shared" si="137"/>
        <v>0.56906938164312193</v>
      </c>
      <c r="CT76" s="4">
        <f t="shared" si="138"/>
        <v>5.387096774193548</v>
      </c>
      <c r="CU76" s="40">
        <f t="shared" si="145"/>
        <v>873.79299836898019</v>
      </c>
      <c r="CV76" s="40"/>
      <c r="CW76" s="4">
        <f t="shared" si="146"/>
        <v>53.780832775585743</v>
      </c>
      <c r="CX76" s="4">
        <f t="shared" si="147"/>
        <v>4.4354270515124954</v>
      </c>
      <c r="CY76" s="11">
        <f t="shared" si="142"/>
        <v>553.75517681684539</v>
      </c>
      <c r="CZ76" s="11">
        <f t="shared" si="143"/>
        <v>431.47003935927501</v>
      </c>
      <c r="DA76" s="10"/>
      <c r="DB76" s="10"/>
      <c r="DC76" s="10"/>
      <c r="DD76" s="4"/>
      <c r="DE76" s="31"/>
      <c r="DF76" s="31"/>
      <c r="DG76" s="32"/>
      <c r="DH76" s="32"/>
      <c r="DI76" s="11"/>
      <c r="DJ76" s="11"/>
      <c r="DK76" s="9"/>
      <c r="DL76" s="9"/>
      <c r="DM76" s="9"/>
      <c r="DN76" s="9"/>
      <c r="DO76" s="9"/>
      <c r="DP76" s="9"/>
    </row>
    <row r="77" spans="1:120" s="3" customFormat="1" ht="11" customHeight="1">
      <c r="C77" s="11"/>
      <c r="D77" s="10"/>
      <c r="E77" s="4"/>
      <c r="F77" s="30"/>
      <c r="G77" s="9"/>
      <c r="H77" s="9"/>
      <c r="I77" s="10"/>
      <c r="J77" s="9"/>
      <c r="K77" s="4"/>
      <c r="L77" s="10"/>
      <c r="M77" s="10"/>
      <c r="N77" s="10"/>
      <c r="O77" s="9"/>
      <c r="P77" s="9"/>
      <c r="Q77" s="9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9"/>
      <c r="AG77" s="9"/>
      <c r="AH77" s="9"/>
      <c r="AI77" s="4"/>
      <c r="AJ77" s="11">
        <f t="shared" si="124"/>
        <v>0</v>
      </c>
      <c r="AK77" s="11">
        <f t="shared" si="125"/>
        <v>0</v>
      </c>
      <c r="AL77" s="11">
        <f t="shared" si="144"/>
        <v>0</v>
      </c>
      <c r="AM77" s="11"/>
      <c r="AN77" s="9"/>
      <c r="AO77" s="9"/>
      <c r="AP77" s="9"/>
      <c r="AQ77" s="9"/>
      <c r="AR77" s="9"/>
      <c r="AS77" s="9"/>
      <c r="AT77" s="11"/>
      <c r="AU77" s="11"/>
      <c r="AV77" s="9"/>
      <c r="AW77" s="9"/>
      <c r="AX77" s="9"/>
      <c r="AY77" s="9"/>
      <c r="AZ77" s="9"/>
      <c r="BA77" s="9"/>
      <c r="BB77" s="9"/>
      <c r="BC77" s="9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10"/>
      <c r="BP77" s="10"/>
      <c r="BQ77" s="10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11"/>
      <c r="CJ77" s="10"/>
      <c r="CK77" s="10"/>
      <c r="CL77" s="4"/>
      <c r="CM77" s="4"/>
      <c r="CN77" s="4"/>
      <c r="CO77" s="4"/>
      <c r="CP77" s="4"/>
      <c r="CQ77" s="4"/>
      <c r="CR77" s="4"/>
      <c r="CS77" s="10"/>
      <c r="CT77" s="4"/>
      <c r="CU77" s="40"/>
      <c r="CV77" s="40"/>
      <c r="CW77" s="4"/>
      <c r="CX77" s="4"/>
      <c r="CY77" s="11"/>
      <c r="CZ77" s="11"/>
      <c r="DA77" s="10"/>
      <c r="DB77" s="10"/>
      <c r="DC77" s="4"/>
      <c r="DD77" s="31"/>
      <c r="DE77" s="31"/>
      <c r="DF77" s="32"/>
      <c r="DG77" s="32"/>
      <c r="DH77" s="33"/>
      <c r="DI77" s="33"/>
      <c r="DJ77" s="9"/>
      <c r="DK77" s="9"/>
      <c r="DL77" s="9"/>
      <c r="DM77" s="9"/>
      <c r="DN77" s="9"/>
      <c r="DO77" s="9"/>
    </row>
    <row r="78" spans="1:120" s="3" customFormat="1" ht="11" customHeight="1">
      <c r="A78" s="34" t="s">
        <v>193</v>
      </c>
      <c r="C78" s="11"/>
      <c r="D78" s="10"/>
      <c r="E78" s="4"/>
      <c r="F78" s="30"/>
      <c r="G78" s="9"/>
      <c r="H78" s="9"/>
      <c r="I78" s="10"/>
      <c r="J78" s="9"/>
      <c r="K78" s="4"/>
      <c r="L78" s="10"/>
      <c r="M78" s="10"/>
      <c r="N78" s="10"/>
      <c r="O78" s="9"/>
      <c r="P78" s="9"/>
      <c r="Q78" s="9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9"/>
      <c r="AG78" s="9"/>
      <c r="AH78" s="9"/>
      <c r="AI78" s="4"/>
      <c r="AJ78" s="11"/>
      <c r="AK78" s="11"/>
      <c r="AL78" s="11"/>
      <c r="AM78" s="11"/>
      <c r="AN78" s="9"/>
      <c r="AO78" s="9"/>
      <c r="AP78" s="9"/>
      <c r="AQ78" s="9"/>
      <c r="AR78" s="9"/>
      <c r="AS78" s="9"/>
      <c r="AT78" s="11"/>
      <c r="AU78" s="11"/>
      <c r="AV78" s="9"/>
      <c r="AW78" s="9"/>
      <c r="AX78" s="9"/>
      <c r="AY78" s="9"/>
      <c r="AZ78" s="9"/>
      <c r="BA78" s="9"/>
      <c r="BB78" s="9"/>
      <c r="BC78" s="9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10"/>
      <c r="BP78" s="10"/>
      <c r="BQ78" s="10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11"/>
      <c r="CJ78" s="10"/>
      <c r="CK78" s="10"/>
      <c r="CL78" s="4"/>
      <c r="CM78" s="4"/>
      <c r="CN78" s="4"/>
      <c r="CO78" s="4"/>
      <c r="CP78" s="4"/>
      <c r="CQ78" s="4"/>
      <c r="CR78" s="4"/>
      <c r="CS78" s="10"/>
      <c r="CT78" s="4"/>
      <c r="CU78" s="40"/>
      <c r="CV78" s="40"/>
      <c r="CW78" s="4"/>
      <c r="CX78" s="4"/>
      <c r="CY78" s="11"/>
      <c r="CZ78" s="11"/>
      <c r="DA78" s="10"/>
      <c r="DB78" s="10"/>
      <c r="DC78" s="4"/>
      <c r="DD78" s="31"/>
      <c r="DE78" s="31"/>
      <c r="DF78" s="32"/>
      <c r="DG78" s="32"/>
      <c r="DH78" s="33"/>
      <c r="DI78" s="33"/>
      <c r="DJ78" s="9"/>
      <c r="DK78" s="9"/>
      <c r="DL78" s="9"/>
      <c r="DM78" s="9"/>
      <c r="DN78" s="9"/>
      <c r="DO78" s="9"/>
    </row>
    <row r="79" spans="1:120" s="9" customFormat="1" ht="14" customHeight="1">
      <c r="A79" s="3" t="s">
        <v>171</v>
      </c>
      <c r="B79" s="3" t="s">
        <v>93</v>
      </c>
      <c r="C79" s="3" t="s">
        <v>87</v>
      </c>
      <c r="D79" s="9">
        <v>68</v>
      </c>
      <c r="E79" s="9">
        <v>0.54</v>
      </c>
      <c r="F79" s="9">
        <v>13.5</v>
      </c>
      <c r="G79" s="9">
        <v>8</v>
      </c>
      <c r="H79" s="9">
        <v>0.15</v>
      </c>
      <c r="I79" s="9">
        <v>0.5</v>
      </c>
      <c r="J79" s="9">
        <v>3.4</v>
      </c>
      <c r="K79" s="9">
        <v>5.2</v>
      </c>
      <c r="L79" s="9">
        <v>0.3</v>
      </c>
      <c r="M79" s="9">
        <v>0.16</v>
      </c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H79" s="9">
        <v>1.2</v>
      </c>
      <c r="AI79" s="4"/>
      <c r="AJ79" s="11">
        <f t="shared" ref="AJ79:AJ85" si="148">L79*39.1*2/(39.1*2+16)*10000</f>
        <v>2490.4458598726114</v>
      </c>
      <c r="AK79" s="11">
        <f t="shared" ref="AK79:AK85" si="149">E79*47.867/(47.867+32)*10000</f>
        <v>3236.4030200207849</v>
      </c>
      <c r="AL79" s="11">
        <f t="shared" ref="AL79:AL85" si="150">M79*2*30.97/(2*30.97+16*5)*10000</f>
        <v>698.21051148372544</v>
      </c>
      <c r="AM79" s="9">
        <v>250</v>
      </c>
      <c r="AO79" s="9">
        <v>27</v>
      </c>
      <c r="AP79" s="9" t="s">
        <v>66</v>
      </c>
      <c r="AQ79" s="9" t="s">
        <v>66</v>
      </c>
      <c r="AR79" s="9" t="s">
        <v>66</v>
      </c>
      <c r="AS79" s="9" t="s">
        <v>66</v>
      </c>
      <c r="AT79" s="11">
        <v>28</v>
      </c>
      <c r="AU79" s="11">
        <v>35</v>
      </c>
      <c r="AV79" s="9">
        <v>21</v>
      </c>
      <c r="AW79" s="9">
        <v>4</v>
      </c>
      <c r="AX79" s="9">
        <v>110</v>
      </c>
      <c r="AY79" s="9">
        <v>43</v>
      </c>
      <c r="AZ79" s="10">
        <v>0.83</v>
      </c>
      <c r="BA79" s="4">
        <v>13</v>
      </c>
      <c r="BB79" s="4">
        <v>35</v>
      </c>
      <c r="BC79" s="4">
        <v>4.9000000000000004</v>
      </c>
      <c r="BD79" s="4">
        <v>22</v>
      </c>
      <c r="BE79" s="4">
        <v>5.5</v>
      </c>
      <c r="BF79" s="4">
        <v>1.9</v>
      </c>
      <c r="BG79" s="4">
        <v>6.5</v>
      </c>
      <c r="BH79" s="4">
        <v>1.1000000000000001</v>
      </c>
      <c r="BI79" s="4">
        <v>6.5</v>
      </c>
      <c r="BJ79" s="4">
        <v>1.4</v>
      </c>
      <c r="BK79" s="4">
        <v>4.2</v>
      </c>
      <c r="BL79" s="9">
        <v>0.64</v>
      </c>
      <c r="BM79" s="4">
        <v>4.8</v>
      </c>
      <c r="BN79" s="10">
        <v>0.66</v>
      </c>
      <c r="BP79" s="4">
        <v>2.1</v>
      </c>
      <c r="BQ79" s="10">
        <v>0.49</v>
      </c>
      <c r="BR79" s="4">
        <v>12</v>
      </c>
      <c r="BS79" s="4">
        <v>0.5</v>
      </c>
      <c r="BT79" s="9">
        <v>240</v>
      </c>
      <c r="BU79" s="4">
        <v>5.5</v>
      </c>
      <c r="CI79" s="11">
        <f t="shared" ref="CI79:CI84" si="151">100*(I79/40.31)/(G79/0.89981/71.85+I79/40.31)</f>
        <v>9.1108109582325802</v>
      </c>
      <c r="CJ79" s="10">
        <f t="shared" ref="CJ79:CJ84" si="152">(F79/133.96)/(J79/56.08+K79/61.98+L79/94.2)</f>
        <v>0.68225620995910674</v>
      </c>
      <c r="CK79" s="10">
        <f t="shared" ref="CK79:CK84" si="153">L79/K79</f>
        <v>5.7692307692307689E-2</v>
      </c>
      <c r="CL79" s="4">
        <f t="shared" ref="CL79:CL84" si="154">K79+L79</f>
        <v>5.5</v>
      </c>
      <c r="CM79" s="4">
        <f t="shared" ref="CM79:CM84" si="155">AX79/AY79</f>
        <v>2.558139534883721</v>
      </c>
      <c r="CN79" s="4">
        <f t="shared" ref="CN79:CN84" si="156">BT79/AY79</f>
        <v>5.5813953488372094</v>
      </c>
      <c r="CO79" s="4">
        <f t="shared" ref="CO79:CO84" si="157">BR79/BS79</f>
        <v>24</v>
      </c>
      <c r="CP79" s="4">
        <f t="shared" ref="CP79:CP84" si="158">(BA79/0.237)/(BM79/0.161)</f>
        <v>1.8398382559774966</v>
      </c>
      <c r="CQ79" s="4">
        <f t="shared" ref="CQ79:CQ84" si="159">BA79/BM79</f>
        <v>2.7083333333333335</v>
      </c>
      <c r="CR79" s="4">
        <f t="shared" ref="CR79:CR84" si="160">BI79/BM79</f>
        <v>1.3541666666666667</v>
      </c>
      <c r="CS79" s="10">
        <f t="shared" ref="CS79:CS84" si="161">(BF79/0.0563)/(((BE79/0.148)*(BG79/0.199))^(1/2))</f>
        <v>0.96864486147089746</v>
      </c>
      <c r="CT79" s="4"/>
      <c r="CU79" s="40">
        <f t="shared" ref="CU79:CU84" si="162">(26400*D79/100-4800)/(12.4*D79/100-LN(M79/100)-3.97)-273.15</f>
        <v>933.4829970296222</v>
      </c>
      <c r="CV79" s="40"/>
      <c r="CW79" s="4">
        <f t="shared" ref="CW79:CW84" si="163">D79*28.086/(28.086+15.999*2)+F79*26.982*2/(26.982*2+15.999*3)+G79*55.845*2/(55.845*2+15.999*3)+J79*40.078/(40.078+15.999)+I79*32.99*2/(22.99*2+15.999)+L79*39.098*2/(39.098*2+15.999)+O79*51.996*2/(51.996*2+15.999*3)+E79*47.867/(47.867+15.999*2)+H79*54.938/(54.938+15.999)+M79*30.974*2/(30.974*2+15.999*5)+P79*87.62/(87.62+15.999)+N79*137.328/(137.328+15.999)</f>
        <v>48.247705656110504</v>
      </c>
      <c r="CX79" s="4">
        <f t="shared" ref="CX79:CX84" si="164">(K79*22.99*2/(22.99*2+15.999)+L79*39.098*2/(39.098*2+15.999)+2*J79*40.078/(40.078+15.999))/((F79*2*26.982/(26.982*2+15.999*3))*(D79*28.086/(28.086+15.999*2)))*CW79</f>
        <v>1.9048645652196801</v>
      </c>
      <c r="CY79" s="11">
        <f t="shared" ref="CY79:CY84" si="165">12900/(3.8+0.85*(CX79-1)+LN(496000/BT79))-273.15</f>
        <v>783.9820750426926</v>
      </c>
      <c r="CZ79" s="11">
        <f t="shared" ref="CZ79:CZ84" si="166">10108/(1.48+1.16*(CX79-1)+LN(496000/BT79))-273.15</f>
        <v>721.40541148150112</v>
      </c>
      <c r="DA79" s="31"/>
      <c r="DB79" s="31"/>
      <c r="DC79" s="32"/>
      <c r="DD79" s="32"/>
      <c r="DE79" s="32"/>
      <c r="DF79" s="32"/>
    </row>
    <row r="80" spans="1:120" s="9" customFormat="1" ht="14" customHeight="1">
      <c r="A80" s="3" t="s">
        <v>172</v>
      </c>
      <c r="B80" s="3" t="s">
        <v>93</v>
      </c>
      <c r="C80" s="3" t="s">
        <v>87</v>
      </c>
      <c r="D80" s="9">
        <v>68.400000000000006</v>
      </c>
      <c r="E80" s="9">
        <v>0.25</v>
      </c>
      <c r="F80" s="9">
        <v>15.8</v>
      </c>
      <c r="G80" s="9">
        <v>4.2</v>
      </c>
      <c r="H80" s="9">
        <v>0.06</v>
      </c>
      <c r="I80" s="9">
        <v>0.5</v>
      </c>
      <c r="J80" s="9">
        <v>3.28</v>
      </c>
      <c r="K80" s="9">
        <v>5.4</v>
      </c>
      <c r="L80" s="9">
        <v>0.9</v>
      </c>
      <c r="M80" s="9">
        <v>0.08</v>
      </c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H80" s="9">
        <v>1.3</v>
      </c>
      <c r="AI80" s="4"/>
      <c r="AJ80" s="11">
        <f t="shared" si="148"/>
        <v>7471.3375796178352</v>
      </c>
      <c r="AK80" s="11">
        <f t="shared" si="149"/>
        <v>1498.3347314911041</v>
      </c>
      <c r="AL80" s="11">
        <f t="shared" si="150"/>
        <v>349.10525574186272</v>
      </c>
      <c r="AM80" s="9">
        <v>215</v>
      </c>
      <c r="AO80" s="9">
        <v>5</v>
      </c>
      <c r="AP80" s="9" t="s">
        <v>66</v>
      </c>
      <c r="AQ80" s="9">
        <v>16</v>
      </c>
      <c r="AR80" s="9" t="s">
        <v>66</v>
      </c>
      <c r="AS80" s="9" t="s">
        <v>66</v>
      </c>
      <c r="AT80" s="11" t="s">
        <v>66</v>
      </c>
      <c r="AU80" s="11">
        <v>43</v>
      </c>
      <c r="AV80" s="9">
        <v>20</v>
      </c>
      <c r="AW80" s="9">
        <v>25</v>
      </c>
      <c r="AX80" s="9">
        <v>164</v>
      </c>
      <c r="AY80" s="9">
        <v>32</v>
      </c>
      <c r="AZ80" s="10">
        <v>0.24</v>
      </c>
      <c r="BA80" s="4">
        <v>10</v>
      </c>
      <c r="BB80" s="4">
        <v>32</v>
      </c>
      <c r="BC80" s="4">
        <v>3</v>
      </c>
      <c r="BD80" s="4">
        <v>14</v>
      </c>
      <c r="BE80" s="4">
        <v>3.8</v>
      </c>
      <c r="BF80" s="4">
        <v>1.3</v>
      </c>
      <c r="BG80" s="4">
        <v>4.0999999999999996</v>
      </c>
      <c r="BH80" s="4">
        <v>0.8</v>
      </c>
      <c r="BI80" s="4">
        <v>5</v>
      </c>
      <c r="BJ80" s="4">
        <v>1.1000000000000001</v>
      </c>
      <c r="BK80" s="4">
        <v>3.1</v>
      </c>
      <c r="BL80" s="9">
        <v>0.53</v>
      </c>
      <c r="BM80" s="4">
        <v>3.8</v>
      </c>
      <c r="BN80" s="10">
        <v>0.62</v>
      </c>
      <c r="BP80" s="4">
        <v>2.8</v>
      </c>
      <c r="BQ80" s="10">
        <v>0.45</v>
      </c>
      <c r="BR80" s="4">
        <v>10</v>
      </c>
      <c r="BS80" s="4">
        <v>0.6</v>
      </c>
      <c r="BT80" s="9">
        <v>477</v>
      </c>
      <c r="BU80" s="4">
        <v>9.8000000000000007</v>
      </c>
      <c r="CI80" s="11">
        <f t="shared" si="151"/>
        <v>16.032359828700447</v>
      </c>
      <c r="CJ80" s="10">
        <f t="shared" si="152"/>
        <v>0.76012126487803033</v>
      </c>
      <c r="CK80" s="10">
        <f t="shared" si="153"/>
        <v>0.16666666666666666</v>
      </c>
      <c r="CL80" s="4">
        <f t="shared" si="154"/>
        <v>6.3000000000000007</v>
      </c>
      <c r="CM80" s="4">
        <f t="shared" si="155"/>
        <v>5.125</v>
      </c>
      <c r="CN80" s="4">
        <f t="shared" si="156"/>
        <v>14.90625</v>
      </c>
      <c r="CO80" s="4">
        <f t="shared" si="157"/>
        <v>16.666666666666668</v>
      </c>
      <c r="CP80" s="4">
        <f t="shared" si="158"/>
        <v>1.7876970908283367</v>
      </c>
      <c r="CQ80" s="4">
        <f t="shared" si="159"/>
        <v>2.6315789473684212</v>
      </c>
      <c r="CR80" s="4">
        <f t="shared" si="160"/>
        <v>1.3157894736842106</v>
      </c>
      <c r="CS80" s="10">
        <f t="shared" si="161"/>
        <v>1.0039420076985315</v>
      </c>
      <c r="CT80" s="4"/>
      <c r="CU80" s="40">
        <f t="shared" si="162"/>
        <v>865.57461515742727</v>
      </c>
      <c r="CV80" s="40"/>
      <c r="CW80" s="4">
        <f t="shared" si="163"/>
        <v>47.128047310086167</v>
      </c>
      <c r="CX80" s="4">
        <f t="shared" si="164"/>
        <v>1.6642212318024643</v>
      </c>
      <c r="CY80" s="11">
        <f t="shared" si="165"/>
        <v>867.29210710159953</v>
      </c>
      <c r="CZ80" s="11">
        <f t="shared" si="166"/>
        <v>825.86683462235681</v>
      </c>
      <c r="DA80" s="31"/>
      <c r="DB80" s="31"/>
      <c r="DC80" s="32"/>
      <c r="DD80" s="32"/>
      <c r="DE80" s="32"/>
      <c r="DF80" s="32"/>
    </row>
    <row r="81" spans="1:111" s="9" customFormat="1" ht="14" customHeight="1">
      <c r="A81" s="3" t="s">
        <v>173</v>
      </c>
      <c r="B81" s="3" t="s">
        <v>93</v>
      </c>
      <c r="C81" s="3" t="s">
        <v>87</v>
      </c>
      <c r="D81" s="9">
        <v>71.2</v>
      </c>
      <c r="E81" s="9">
        <v>0.33</v>
      </c>
      <c r="F81" s="9">
        <v>14.1</v>
      </c>
      <c r="G81" s="9">
        <v>5</v>
      </c>
      <c r="H81" s="9">
        <v>7.0000000000000007E-2</v>
      </c>
      <c r="I81" s="9">
        <v>1.8</v>
      </c>
      <c r="J81" s="9">
        <v>0.6</v>
      </c>
      <c r="K81" s="9">
        <v>4.8</v>
      </c>
      <c r="L81" s="9">
        <v>0.5</v>
      </c>
      <c r="M81" s="9">
        <v>7.0000000000000007E-2</v>
      </c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H81" s="9">
        <v>2.1</v>
      </c>
      <c r="AI81" s="4"/>
      <c r="AJ81" s="11">
        <f t="shared" si="148"/>
        <v>4150.7430997876863</v>
      </c>
      <c r="AK81" s="11">
        <f t="shared" si="149"/>
        <v>1977.8018455682575</v>
      </c>
      <c r="AL81" s="11">
        <f t="shared" si="150"/>
        <v>305.46709877412991</v>
      </c>
      <c r="AM81" s="9">
        <v>161</v>
      </c>
      <c r="AO81" s="9">
        <v>8</v>
      </c>
      <c r="AP81" s="9">
        <v>15</v>
      </c>
      <c r="AQ81" s="9">
        <v>15</v>
      </c>
      <c r="AR81" s="9" t="s">
        <v>66</v>
      </c>
      <c r="AS81" s="9" t="s">
        <v>66</v>
      </c>
      <c r="AT81" s="11" t="s">
        <v>66</v>
      </c>
      <c r="AU81" s="11">
        <v>63</v>
      </c>
      <c r="AV81" s="9">
        <v>17</v>
      </c>
      <c r="AW81" s="9">
        <v>10</v>
      </c>
      <c r="AX81" s="9">
        <v>60</v>
      </c>
      <c r="AY81" s="9">
        <v>36</v>
      </c>
      <c r="AZ81" s="10">
        <v>0.25</v>
      </c>
      <c r="BA81" s="4">
        <v>26</v>
      </c>
      <c r="BB81" s="4">
        <v>47</v>
      </c>
      <c r="BC81" s="4">
        <v>7</v>
      </c>
      <c r="BD81" s="4">
        <v>28</v>
      </c>
      <c r="BE81" s="4">
        <v>6</v>
      </c>
      <c r="BF81" s="4">
        <v>0.9</v>
      </c>
      <c r="BG81" s="4">
        <v>5.6</v>
      </c>
      <c r="BH81" s="4">
        <v>0.9</v>
      </c>
      <c r="BI81" s="4">
        <v>5.3</v>
      </c>
      <c r="BJ81" s="4">
        <v>1.2</v>
      </c>
      <c r="BK81" s="4">
        <v>3.3</v>
      </c>
      <c r="BL81" s="9">
        <v>0.56999999999999995</v>
      </c>
      <c r="BM81" s="4">
        <v>4.3</v>
      </c>
      <c r="BN81" s="10">
        <v>0.72</v>
      </c>
      <c r="BP81" s="4">
        <v>4.0999999999999996</v>
      </c>
      <c r="BQ81" s="10">
        <v>1.1000000000000001</v>
      </c>
      <c r="BR81" s="4">
        <v>9</v>
      </c>
      <c r="BS81" s="4">
        <v>0.6</v>
      </c>
      <c r="BT81" s="9">
        <v>267</v>
      </c>
      <c r="BU81" s="4">
        <v>6.8</v>
      </c>
      <c r="CI81" s="11">
        <f t="shared" si="151"/>
        <v>36.60403208679201</v>
      </c>
      <c r="CJ81" s="10">
        <f t="shared" si="152"/>
        <v>1.1263130587927179</v>
      </c>
      <c r="CK81" s="10">
        <f t="shared" si="153"/>
        <v>0.10416666666666667</v>
      </c>
      <c r="CL81" s="4">
        <f t="shared" si="154"/>
        <v>5.3</v>
      </c>
      <c r="CM81" s="4">
        <f t="shared" si="155"/>
        <v>1.6666666666666667</v>
      </c>
      <c r="CN81" s="4">
        <f t="shared" si="156"/>
        <v>7.416666666666667</v>
      </c>
      <c r="CO81" s="4">
        <f t="shared" si="157"/>
        <v>15</v>
      </c>
      <c r="CP81" s="4">
        <f t="shared" si="158"/>
        <v>4.1075458738102251</v>
      </c>
      <c r="CQ81" s="4">
        <f t="shared" si="159"/>
        <v>6.0465116279069768</v>
      </c>
      <c r="CR81" s="4">
        <f t="shared" si="160"/>
        <v>1.2325581395348837</v>
      </c>
      <c r="CS81" s="10">
        <f t="shared" si="161"/>
        <v>0.47328405338414081</v>
      </c>
      <c r="CT81" s="4">
        <f t="shared" ref="CT81:CT84" si="167">AP81/AO81</f>
        <v>1.875</v>
      </c>
      <c r="CU81" s="40">
        <f t="shared" si="162"/>
        <v>881.39377609169321</v>
      </c>
      <c r="CV81" s="40"/>
      <c r="CW81" s="4">
        <f t="shared" si="163"/>
        <v>47.284499111129243</v>
      </c>
      <c r="CX81" s="4">
        <f t="shared" si="164"/>
        <v>0.92022604998714419</v>
      </c>
      <c r="CY81" s="11">
        <f t="shared" si="165"/>
        <v>872.57211402667679</v>
      </c>
      <c r="CZ81" s="11">
        <f t="shared" si="166"/>
        <v>860.72730569874136</v>
      </c>
      <c r="DA81" s="31"/>
      <c r="DB81" s="31"/>
      <c r="DC81" s="32"/>
      <c r="DD81" s="32"/>
      <c r="DE81" s="32"/>
      <c r="DF81" s="32"/>
    </row>
    <row r="82" spans="1:111" s="9" customFormat="1" ht="14" customHeight="1">
      <c r="A82" s="3" t="s">
        <v>174</v>
      </c>
      <c r="B82" s="3" t="s">
        <v>93</v>
      </c>
      <c r="C82" s="3" t="s">
        <v>87</v>
      </c>
      <c r="D82" s="9">
        <v>71.7</v>
      </c>
      <c r="E82" s="9">
        <v>0.33</v>
      </c>
      <c r="F82" s="9">
        <v>13.1</v>
      </c>
      <c r="G82" s="9">
        <v>5.0999999999999996</v>
      </c>
      <c r="H82" s="9">
        <v>0.09</v>
      </c>
      <c r="I82" s="9">
        <v>0.7</v>
      </c>
      <c r="J82" s="9">
        <v>2.6</v>
      </c>
      <c r="K82" s="9">
        <v>4.5</v>
      </c>
      <c r="L82" s="9">
        <v>0.5</v>
      </c>
      <c r="M82" s="9">
        <v>0.08</v>
      </c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H82" s="9">
        <v>1.3</v>
      </c>
      <c r="AI82" s="4"/>
      <c r="AJ82" s="11">
        <f t="shared" si="148"/>
        <v>4150.7430997876863</v>
      </c>
      <c r="AK82" s="11">
        <f t="shared" si="149"/>
        <v>1977.8018455682575</v>
      </c>
      <c r="AL82" s="11">
        <f t="shared" si="150"/>
        <v>349.10525574186272</v>
      </c>
      <c r="AM82" s="9">
        <v>210</v>
      </c>
      <c r="AO82" s="9">
        <v>13</v>
      </c>
      <c r="AP82" s="9">
        <v>14</v>
      </c>
      <c r="AQ82" s="9" t="s">
        <v>66</v>
      </c>
      <c r="AR82" s="9" t="s">
        <v>66</v>
      </c>
      <c r="AS82" s="9" t="s">
        <v>66</v>
      </c>
      <c r="AT82" s="11">
        <v>10</v>
      </c>
      <c r="AU82" s="11">
        <v>39</v>
      </c>
      <c r="AV82" s="9">
        <v>18</v>
      </c>
      <c r="AW82" s="9">
        <v>14</v>
      </c>
      <c r="AX82" s="9">
        <v>110</v>
      </c>
      <c r="AY82" s="9">
        <v>52</v>
      </c>
      <c r="AZ82" s="10">
        <v>0.21</v>
      </c>
      <c r="BA82" s="4">
        <v>16</v>
      </c>
      <c r="BB82" s="4">
        <v>39</v>
      </c>
      <c r="BC82" s="4">
        <v>5.6</v>
      </c>
      <c r="BD82" s="4">
        <v>25</v>
      </c>
      <c r="BE82" s="4">
        <v>6.6</v>
      </c>
      <c r="BF82" s="4">
        <v>2</v>
      </c>
      <c r="BG82" s="4">
        <v>7.9</v>
      </c>
      <c r="BH82" s="4">
        <v>1.4</v>
      </c>
      <c r="BI82" s="4">
        <v>8.4</v>
      </c>
      <c r="BJ82" s="4">
        <v>1.7</v>
      </c>
      <c r="BK82" s="4">
        <v>5.4</v>
      </c>
      <c r="BL82" s="9">
        <v>0.78</v>
      </c>
      <c r="BM82" s="4">
        <v>5.8</v>
      </c>
      <c r="BN82" s="10">
        <v>0.86</v>
      </c>
      <c r="BP82" s="4">
        <v>2.8</v>
      </c>
      <c r="BQ82" s="10">
        <v>0.43</v>
      </c>
      <c r="BR82" s="4">
        <v>11</v>
      </c>
      <c r="BS82" s="4">
        <v>0.4</v>
      </c>
      <c r="BT82" s="9">
        <v>470</v>
      </c>
      <c r="BU82" s="4">
        <v>9.5</v>
      </c>
      <c r="CI82" s="11">
        <f t="shared" si="151"/>
        <v>18.041977085728245</v>
      </c>
      <c r="CJ82" s="10">
        <f t="shared" si="152"/>
        <v>0.78689170570894673</v>
      </c>
      <c r="CK82" s="10">
        <f t="shared" si="153"/>
        <v>0.1111111111111111</v>
      </c>
      <c r="CL82" s="4">
        <f t="shared" si="154"/>
        <v>5</v>
      </c>
      <c r="CM82" s="4">
        <f t="shared" si="155"/>
        <v>2.1153846153846154</v>
      </c>
      <c r="CN82" s="4">
        <f t="shared" si="156"/>
        <v>9.0384615384615383</v>
      </c>
      <c r="CO82" s="4">
        <f t="shared" si="157"/>
        <v>27.5</v>
      </c>
      <c r="CP82" s="4">
        <f t="shared" si="158"/>
        <v>1.8739997090062563</v>
      </c>
      <c r="CQ82" s="4">
        <f t="shared" si="159"/>
        <v>2.7586206896551726</v>
      </c>
      <c r="CR82" s="4">
        <f t="shared" si="160"/>
        <v>1.4482758620689655</v>
      </c>
      <c r="CS82" s="10">
        <f t="shared" si="161"/>
        <v>0.84429357297021823</v>
      </c>
      <c r="CT82" s="4">
        <f t="shared" si="167"/>
        <v>1.0769230769230769</v>
      </c>
      <c r="CU82" s="40">
        <f t="shared" si="162"/>
        <v>899.19924295337512</v>
      </c>
      <c r="CV82" s="40"/>
      <c r="CW82" s="4">
        <f t="shared" si="163"/>
        <v>47.337139505010427</v>
      </c>
      <c r="CX82" s="4">
        <f t="shared" si="164"/>
        <v>1.5216831219344253</v>
      </c>
      <c r="CY82" s="11">
        <f t="shared" si="165"/>
        <v>878.11875713099869</v>
      </c>
      <c r="CZ82" s="11">
        <f t="shared" si="166"/>
        <v>844.15720514774546</v>
      </c>
      <c r="DA82" s="31"/>
      <c r="DB82" s="31"/>
      <c r="DC82" s="32"/>
      <c r="DD82" s="32"/>
      <c r="DE82" s="32"/>
      <c r="DF82" s="32"/>
    </row>
    <row r="83" spans="1:111" s="9" customFormat="1" ht="14" customHeight="1">
      <c r="A83" s="3" t="s">
        <v>175</v>
      </c>
      <c r="B83" s="3" t="s">
        <v>93</v>
      </c>
      <c r="C83" s="3" t="s">
        <v>87</v>
      </c>
      <c r="D83" s="9">
        <v>74.400000000000006</v>
      </c>
      <c r="E83" s="9">
        <v>0.28999999999999998</v>
      </c>
      <c r="F83" s="9">
        <v>12.7</v>
      </c>
      <c r="G83" s="9">
        <v>2.1</v>
      </c>
      <c r="H83" s="9">
        <v>0.03</v>
      </c>
      <c r="I83" s="9">
        <v>0.3</v>
      </c>
      <c r="J83" s="9">
        <v>3</v>
      </c>
      <c r="K83" s="9">
        <v>5.6</v>
      </c>
      <c r="L83" s="9">
        <v>0.2</v>
      </c>
      <c r="M83" s="9">
        <v>0.06</v>
      </c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H83" s="9">
        <v>0.4</v>
      </c>
      <c r="AI83" s="4"/>
      <c r="AJ83" s="11">
        <f t="shared" si="148"/>
        <v>1660.2972399150742</v>
      </c>
      <c r="AK83" s="11">
        <f t="shared" si="149"/>
        <v>1738.0682885296806</v>
      </c>
      <c r="AL83" s="11">
        <f t="shared" si="150"/>
        <v>261.82894180639704</v>
      </c>
      <c r="AM83" s="9">
        <v>240</v>
      </c>
      <c r="AO83" s="9">
        <v>10</v>
      </c>
      <c r="AP83" s="9" t="s">
        <v>66</v>
      </c>
      <c r="AQ83" s="9" t="s">
        <v>66</v>
      </c>
      <c r="AR83" s="9" t="s">
        <v>66</v>
      </c>
      <c r="AS83" s="9" t="s">
        <v>66</v>
      </c>
      <c r="AT83" s="11" t="s">
        <v>66</v>
      </c>
      <c r="AU83" s="11">
        <v>7</v>
      </c>
      <c r="AV83" s="9">
        <v>16</v>
      </c>
      <c r="AW83" s="9">
        <v>2.7</v>
      </c>
      <c r="AX83" s="9">
        <v>100</v>
      </c>
      <c r="AY83" s="9">
        <v>57</v>
      </c>
      <c r="AZ83" s="10">
        <v>0.1</v>
      </c>
      <c r="BA83" s="4">
        <v>15</v>
      </c>
      <c r="BB83" s="4">
        <v>40</v>
      </c>
      <c r="BC83" s="4">
        <v>5.8</v>
      </c>
      <c r="BD83" s="4">
        <v>25</v>
      </c>
      <c r="BE83" s="4">
        <v>7</v>
      </c>
      <c r="BF83" s="4">
        <v>1.6</v>
      </c>
      <c r="BG83" s="4">
        <v>7.8</v>
      </c>
      <c r="BH83" s="4">
        <v>1.4</v>
      </c>
      <c r="BI83" s="4">
        <v>8.5</v>
      </c>
      <c r="BJ83" s="4">
        <v>1.9</v>
      </c>
      <c r="BK83" s="4">
        <v>5.4</v>
      </c>
      <c r="BL83" s="9">
        <v>0.84</v>
      </c>
      <c r="BM83" s="4">
        <v>5.9</v>
      </c>
      <c r="BN83" s="10">
        <v>0.88</v>
      </c>
      <c r="BP83" s="4">
        <v>3.7</v>
      </c>
      <c r="BQ83" s="10">
        <v>0.79</v>
      </c>
      <c r="BR83" s="4">
        <v>13</v>
      </c>
      <c r="BS83" s="4">
        <v>0.8</v>
      </c>
      <c r="BT83" s="9">
        <v>460</v>
      </c>
      <c r="BU83" s="4">
        <v>9.1</v>
      </c>
      <c r="CI83" s="11">
        <f t="shared" si="151"/>
        <v>18.641109833525714</v>
      </c>
      <c r="CJ83" s="10">
        <f t="shared" si="152"/>
        <v>0.64947934458913215</v>
      </c>
      <c r="CK83" s="10">
        <f t="shared" si="153"/>
        <v>3.5714285714285719E-2</v>
      </c>
      <c r="CL83" s="4">
        <f t="shared" si="154"/>
        <v>5.8</v>
      </c>
      <c r="CM83" s="4">
        <f t="shared" si="155"/>
        <v>1.7543859649122806</v>
      </c>
      <c r="CN83" s="4">
        <f t="shared" si="156"/>
        <v>8.0701754385964914</v>
      </c>
      <c r="CO83" s="4">
        <f t="shared" si="157"/>
        <v>16.25</v>
      </c>
      <c r="CP83" s="4">
        <f t="shared" si="158"/>
        <v>1.7270971894443252</v>
      </c>
      <c r="CQ83" s="4">
        <f t="shared" si="159"/>
        <v>2.5423728813559321</v>
      </c>
      <c r="CR83" s="4">
        <f t="shared" si="160"/>
        <v>1.4406779661016949</v>
      </c>
      <c r="CS83" s="10">
        <f t="shared" si="161"/>
        <v>0.66004365775809193</v>
      </c>
      <c r="CT83" s="4"/>
      <c r="CU83" s="40">
        <f t="shared" si="162"/>
        <v>897.86058552682596</v>
      </c>
      <c r="CV83" s="40"/>
      <c r="CW83" s="4">
        <f t="shared" si="163"/>
        <v>45.821087190719602</v>
      </c>
      <c r="CX83" s="4">
        <f t="shared" si="164"/>
        <v>1.6874169690732914</v>
      </c>
      <c r="CY83" s="11">
        <f t="shared" si="165"/>
        <v>861.67323379031461</v>
      </c>
      <c r="CZ83" s="11">
        <f t="shared" si="166"/>
        <v>818.36674649084341</v>
      </c>
      <c r="DA83" s="31"/>
      <c r="DB83" s="31"/>
      <c r="DC83" s="32"/>
      <c r="DD83" s="32"/>
      <c r="DE83" s="32"/>
      <c r="DF83" s="32"/>
    </row>
    <row r="84" spans="1:111" s="9" customFormat="1" ht="14" customHeight="1">
      <c r="A84" s="3" t="s">
        <v>176</v>
      </c>
      <c r="B84" s="3" t="s">
        <v>93</v>
      </c>
      <c r="C84" s="3" t="s">
        <v>87</v>
      </c>
      <c r="D84" s="9">
        <v>75.599999999999994</v>
      </c>
      <c r="E84" s="9">
        <v>0.35</v>
      </c>
      <c r="F84" s="9">
        <v>12.2</v>
      </c>
      <c r="G84" s="9">
        <v>3.8</v>
      </c>
      <c r="H84" s="9">
        <v>0.04</v>
      </c>
      <c r="I84" s="9">
        <v>0.5</v>
      </c>
      <c r="J84" s="9">
        <v>2.4</v>
      </c>
      <c r="K84" s="9">
        <v>4.2</v>
      </c>
      <c r="L84" s="9">
        <v>0.5</v>
      </c>
      <c r="M84" s="9">
        <v>0.03</v>
      </c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H84" s="9">
        <v>1.1000000000000001</v>
      </c>
      <c r="AI84" s="4"/>
      <c r="AJ84" s="11">
        <f t="shared" si="148"/>
        <v>4150.7430997876863</v>
      </c>
      <c r="AK84" s="11">
        <f t="shared" si="149"/>
        <v>2097.6686240875456</v>
      </c>
      <c r="AL84" s="11">
        <f t="shared" si="150"/>
        <v>130.91447090319852</v>
      </c>
      <c r="AM84" s="9">
        <v>200</v>
      </c>
      <c r="AO84" s="9">
        <v>7</v>
      </c>
      <c r="AP84" s="9">
        <v>11</v>
      </c>
      <c r="AQ84" s="9" t="s">
        <v>66</v>
      </c>
      <c r="AR84" s="9" t="s">
        <v>66</v>
      </c>
      <c r="AS84" s="9" t="s">
        <v>66</v>
      </c>
      <c r="AT84" s="11" t="s">
        <v>66</v>
      </c>
      <c r="AU84" s="11">
        <v>21</v>
      </c>
      <c r="AV84" s="9">
        <v>17</v>
      </c>
      <c r="AW84" s="9">
        <v>9.6999999999999993</v>
      </c>
      <c r="AX84" s="9">
        <v>90</v>
      </c>
      <c r="AY84" s="9">
        <v>58</v>
      </c>
      <c r="AZ84" s="10">
        <v>0.14000000000000001</v>
      </c>
      <c r="BA84" s="4">
        <v>13</v>
      </c>
      <c r="BB84" s="4">
        <v>31</v>
      </c>
      <c r="BC84" s="4">
        <v>4.5</v>
      </c>
      <c r="BD84" s="4">
        <v>19</v>
      </c>
      <c r="BE84" s="4">
        <v>5.0999999999999996</v>
      </c>
      <c r="BF84" s="4">
        <v>1.6</v>
      </c>
      <c r="BG84" s="4">
        <v>6.2</v>
      </c>
      <c r="BH84" s="4">
        <v>1.2</v>
      </c>
      <c r="BI84" s="4">
        <v>8.4</v>
      </c>
      <c r="BJ84" s="4">
        <v>1.9</v>
      </c>
      <c r="BK84" s="4">
        <v>6</v>
      </c>
      <c r="BL84" s="9">
        <v>0.91</v>
      </c>
      <c r="BM84" s="4">
        <v>6.6</v>
      </c>
      <c r="BN84" s="10">
        <v>0.93</v>
      </c>
      <c r="BP84" s="4">
        <v>2.1</v>
      </c>
      <c r="BQ84" s="10">
        <v>0.62</v>
      </c>
      <c r="BR84" s="4">
        <v>10</v>
      </c>
      <c r="BS84" s="4">
        <v>0.5</v>
      </c>
      <c r="BT84" s="9">
        <v>320</v>
      </c>
      <c r="BU84" s="4">
        <v>6.7</v>
      </c>
      <c r="CI84" s="11">
        <f t="shared" si="151"/>
        <v>17.425894328343741</v>
      </c>
      <c r="CJ84" s="10">
        <f t="shared" si="152"/>
        <v>0.78599986261162136</v>
      </c>
      <c r="CK84" s="10">
        <f t="shared" si="153"/>
        <v>0.11904761904761904</v>
      </c>
      <c r="CL84" s="4">
        <f t="shared" si="154"/>
        <v>4.7</v>
      </c>
      <c r="CM84" s="4">
        <f t="shared" si="155"/>
        <v>1.5517241379310345</v>
      </c>
      <c r="CN84" s="4">
        <f t="shared" si="156"/>
        <v>5.5172413793103452</v>
      </c>
      <c r="CO84" s="4">
        <f t="shared" si="157"/>
        <v>20</v>
      </c>
      <c r="CP84" s="4">
        <f t="shared" si="158"/>
        <v>1.3380641861654521</v>
      </c>
      <c r="CQ84" s="4">
        <f t="shared" si="159"/>
        <v>1.9696969696969697</v>
      </c>
      <c r="CR84" s="4">
        <f t="shared" si="160"/>
        <v>1.2727272727272729</v>
      </c>
      <c r="CS84" s="10">
        <f t="shared" si="161"/>
        <v>0.8673373543273325</v>
      </c>
      <c r="CT84" s="4">
        <f t="shared" si="167"/>
        <v>1.5714285714285714</v>
      </c>
      <c r="CU84" s="40">
        <f t="shared" si="162"/>
        <v>848.35461334559784</v>
      </c>
      <c r="CV84" s="40"/>
      <c r="CW84" s="4">
        <f t="shared" si="163"/>
        <v>47.37017464580012</v>
      </c>
      <c r="CX84" s="4">
        <f t="shared" si="164"/>
        <v>1.4451790028844442</v>
      </c>
      <c r="CY84" s="11">
        <f t="shared" si="165"/>
        <v>846.21293100090259</v>
      </c>
      <c r="CZ84" s="11">
        <f t="shared" si="166"/>
        <v>808.79689627093342</v>
      </c>
      <c r="DA84" s="31"/>
      <c r="DB84" s="31"/>
      <c r="DC84" s="32"/>
      <c r="DD84" s="32"/>
      <c r="DE84" s="32"/>
      <c r="DF84" s="32"/>
    </row>
    <row r="85" spans="1:111" s="2" customFormat="1" ht="14" customHeight="1">
      <c r="B85" s="3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I85" s="31"/>
      <c r="AJ85" s="11">
        <f t="shared" si="148"/>
        <v>0</v>
      </c>
      <c r="AK85" s="11">
        <f t="shared" si="149"/>
        <v>0</v>
      </c>
      <c r="AL85" s="11">
        <f t="shared" si="150"/>
        <v>0</v>
      </c>
      <c r="AT85" s="32"/>
      <c r="AU85" s="32"/>
      <c r="CI85" s="54"/>
      <c r="CJ85" s="55"/>
      <c r="CK85" s="55"/>
      <c r="CL85" s="56"/>
      <c r="CM85" s="56"/>
      <c r="CN85" s="56"/>
      <c r="CO85" s="56"/>
      <c r="CP85" s="56"/>
      <c r="CQ85" s="56"/>
      <c r="CR85" s="56"/>
      <c r="CS85" s="55"/>
      <c r="CT85" s="56"/>
      <c r="CU85" s="57"/>
      <c r="CV85" s="57"/>
      <c r="CW85" s="56"/>
      <c r="CX85" s="56"/>
      <c r="CY85" s="54"/>
      <c r="CZ85" s="54"/>
    </row>
    <row r="86" spans="1:111" s="2" customFormat="1" ht="14" customHeight="1">
      <c r="A86" s="29" t="s">
        <v>194</v>
      </c>
      <c r="B86" s="3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I86" s="31"/>
      <c r="AJ86" s="11"/>
      <c r="AK86" s="11"/>
      <c r="AL86" s="11"/>
      <c r="AT86" s="32"/>
      <c r="AU86" s="32"/>
      <c r="CI86" s="54"/>
      <c r="CJ86" s="55"/>
      <c r="CK86" s="55"/>
      <c r="CL86" s="56"/>
      <c r="CM86" s="56"/>
      <c r="CN86" s="56"/>
      <c r="CO86" s="56"/>
      <c r="CP86" s="56"/>
      <c r="CQ86" s="56"/>
      <c r="CR86" s="56"/>
      <c r="CS86" s="55"/>
      <c r="CT86" s="56"/>
      <c r="CU86" s="57"/>
      <c r="CV86" s="57"/>
      <c r="CW86" s="56"/>
      <c r="CX86" s="56"/>
      <c r="CY86" s="54"/>
      <c r="CZ86" s="54"/>
    </row>
    <row r="87" spans="1:111" s="2" customFormat="1" ht="14" customHeight="1">
      <c r="A87" s="3" t="s">
        <v>177</v>
      </c>
      <c r="B87" s="3" t="s">
        <v>94</v>
      </c>
      <c r="C87" s="3" t="s">
        <v>203</v>
      </c>
      <c r="D87" s="4">
        <v>61.95</v>
      </c>
      <c r="E87" s="10">
        <v>0.62</v>
      </c>
      <c r="F87" s="10">
        <v>16.84</v>
      </c>
      <c r="G87" s="10">
        <v>5.17</v>
      </c>
      <c r="H87" s="10">
        <v>7.0000000000000007E-2</v>
      </c>
      <c r="I87" s="10">
        <v>3.11</v>
      </c>
      <c r="J87" s="10">
        <v>4.9000000000000004</v>
      </c>
      <c r="K87" s="10">
        <v>3.98</v>
      </c>
      <c r="L87" s="10">
        <v>1.07</v>
      </c>
      <c r="M87" s="10">
        <v>0.15</v>
      </c>
      <c r="N87" s="3"/>
      <c r="O87" s="3"/>
      <c r="P87" s="3"/>
      <c r="Q87" s="3"/>
      <c r="R87" s="10">
        <f t="shared" si="111"/>
        <v>63.291785860237027</v>
      </c>
      <c r="S87" s="10">
        <f t="shared" si="112"/>
        <v>0.62944162436548223</v>
      </c>
      <c r="T87" s="10">
        <f t="shared" si="113"/>
        <v>17.204740498569677</v>
      </c>
      <c r="U87" s="10">
        <f t="shared" si="114"/>
        <v>5.2819779321618308</v>
      </c>
      <c r="V87" s="10">
        <f t="shared" si="115"/>
        <v>7.1516142214957099E-2</v>
      </c>
      <c r="W87" s="10">
        <f t="shared" si="116"/>
        <v>3.1773600326930937</v>
      </c>
      <c r="X87" s="10">
        <f t="shared" si="117"/>
        <v>5.0061299550469975</v>
      </c>
      <c r="Y87" s="10">
        <f t="shared" si="118"/>
        <v>4.0662035145075608</v>
      </c>
      <c r="Z87" s="10">
        <f t="shared" si="119"/>
        <v>1.0931753167143441</v>
      </c>
      <c r="AA87" s="10">
        <f t="shared" si="120"/>
        <v>0.15324887617490807</v>
      </c>
      <c r="AB87" s="10">
        <f t="shared" si="121"/>
        <v>0</v>
      </c>
      <c r="AC87" s="10">
        <f t="shared" si="122"/>
        <v>0</v>
      </c>
      <c r="AD87" s="10">
        <f t="shared" si="123"/>
        <v>0</v>
      </c>
      <c r="AE87" s="10"/>
      <c r="AF87" s="3"/>
      <c r="AG87" s="3"/>
      <c r="AH87" s="4">
        <v>2.2200000000000002</v>
      </c>
      <c r="AI87" s="4">
        <v>100.1</v>
      </c>
      <c r="AJ87" s="11">
        <f t="shared" ref="AJ87:AJ96" si="168">L87*39.1*2/(39.1*2+16)*10000</f>
        <v>8882.5902335456467</v>
      </c>
      <c r="AK87" s="11">
        <f t="shared" ref="AK87:AK96" si="169">E87*47.867/(47.867+32)*10000</f>
        <v>3715.8701340979378</v>
      </c>
      <c r="AL87" s="11">
        <f t="shared" ref="AL87:AL96" si="170">M87*2*30.97/(2*30.97+16*5)*10000</f>
        <v>654.57235451599263</v>
      </c>
      <c r="AM87" s="4">
        <v>311</v>
      </c>
      <c r="AN87" s="4">
        <v>16</v>
      </c>
      <c r="AO87" s="4"/>
      <c r="AP87" s="4"/>
      <c r="AQ87" s="4"/>
      <c r="AR87" s="4"/>
      <c r="AS87" s="11">
        <v>42</v>
      </c>
      <c r="AT87" s="11">
        <v>153</v>
      </c>
      <c r="AU87" s="11">
        <v>67</v>
      </c>
      <c r="AV87" s="4"/>
      <c r="AW87" s="11">
        <v>33.47</v>
      </c>
      <c r="AX87" s="11">
        <v>271.60000000000002</v>
      </c>
      <c r="AY87" s="4">
        <v>10.5</v>
      </c>
      <c r="AZ87" s="4">
        <v>1.0720000000000001</v>
      </c>
      <c r="BA87" s="4">
        <v>11.53</v>
      </c>
      <c r="BB87" s="4">
        <v>25.1</v>
      </c>
      <c r="BC87" s="4">
        <v>3.1019999999999999</v>
      </c>
      <c r="BD87" s="4">
        <v>12.24</v>
      </c>
      <c r="BE87" s="4">
        <v>2.63</v>
      </c>
      <c r="BF87" s="4">
        <v>0.74</v>
      </c>
      <c r="BG87" s="4">
        <v>2.3570000000000002</v>
      </c>
      <c r="BH87" s="4">
        <v>0.33700000000000002</v>
      </c>
      <c r="BI87" s="4">
        <v>2.0409999999999999</v>
      </c>
      <c r="BJ87" s="4">
        <v>0.39700000000000002</v>
      </c>
      <c r="BK87" s="4">
        <v>1.129</v>
      </c>
      <c r="BL87" s="4">
        <v>0.16600000000000001</v>
      </c>
      <c r="BM87" s="4">
        <v>1.06</v>
      </c>
      <c r="BN87" s="4">
        <v>0.16500000000000001</v>
      </c>
      <c r="BO87" s="4"/>
      <c r="BP87" s="4">
        <v>1.92</v>
      </c>
      <c r="BQ87" s="4">
        <v>0.40799999999999997</v>
      </c>
      <c r="BR87" s="4">
        <v>5.7</v>
      </c>
      <c r="BS87" s="4">
        <v>0.47</v>
      </c>
      <c r="BT87" s="11">
        <v>114.1</v>
      </c>
      <c r="BU87" s="4">
        <v>3.2</v>
      </c>
      <c r="BV87" s="3"/>
      <c r="BW87" s="3"/>
      <c r="BX87" s="3">
        <v>4</v>
      </c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11">
        <f t="shared" ref="CI87:CI96" si="171">100*(I87/40.31)/(G87/0.89981/71.85+I87/40.31)</f>
        <v>49.104081502325116</v>
      </c>
      <c r="CJ87" s="10">
        <f t="shared" ref="CJ87:CJ96" si="172">(F87/133.96)/(J87/56.08+K87/61.98+L87/94.2)</f>
        <v>0.77146680222265662</v>
      </c>
      <c r="CK87" s="10">
        <f t="shared" ref="CK87:CK96" si="173">L87/K87</f>
        <v>0.26884422110552764</v>
      </c>
      <c r="CL87" s="4">
        <f t="shared" ref="CL87:CL96" si="174">K87+L87</f>
        <v>5.05</v>
      </c>
      <c r="CM87" s="4">
        <f t="shared" ref="CM87:CM96" si="175">AX87/AY87</f>
        <v>25.866666666666667</v>
      </c>
      <c r="CN87" s="4">
        <f t="shared" ref="CN87:CN96" si="176">BT87/AY87</f>
        <v>10.866666666666665</v>
      </c>
      <c r="CO87" s="4">
        <f t="shared" ref="CO87:CO96" si="177">BR87/BS87</f>
        <v>12.127659574468087</v>
      </c>
      <c r="CP87" s="4">
        <f t="shared" ref="CP87:CP96" si="178">(BA87/0.237)/(BM87/0.161)</f>
        <v>7.3892604092030885</v>
      </c>
      <c r="CQ87" s="4">
        <f t="shared" ref="CQ87:CQ96" si="179">BA87/BM87</f>
        <v>10.877358490566037</v>
      </c>
      <c r="CR87" s="4">
        <f t="shared" ref="CR87:CR96" si="180">BI87/BM87</f>
        <v>1.9254716981132074</v>
      </c>
      <c r="CS87" s="10">
        <f t="shared" ref="CS87:CS96" si="181">(BF87/0.0563)/(((BE87/0.148)*(BG87/0.199))^(1/2))</f>
        <v>0.90598927228246018</v>
      </c>
      <c r="CT87" s="4"/>
      <c r="CU87" s="40">
        <f t="shared" ref="CU87:CU96" si="182">(26400*D87/100-4800)/(12.4*D87/100-LN(M87/100)-3.97)-273.15</f>
        <v>858.11081782096801</v>
      </c>
      <c r="CV87" s="40"/>
      <c r="CW87" s="4">
        <f t="shared" ref="CW87:CW96" si="183">D87*28.086/(28.086+15.999*2)+F87*26.982*2/(26.982*2+15.999*3)+G87*55.845*2/(55.845*2+15.999*3)+J87*40.078/(40.078+15.999)+I87*32.99*2/(22.99*2+15.999)+L87*39.098*2/(39.098*2+15.999)+O87*51.996*2/(51.996*2+15.999*3)+E87*47.867/(47.867+15.999*2)+H87*54.938/(54.938+15.999)+M87*30.974*2/(30.974*2+15.999*5)+P87*87.62/(87.62+15.999)+N87*137.328/(137.328+15.999)</f>
        <v>49.679375638894591</v>
      </c>
      <c r="CX87" s="4">
        <f t="shared" ref="CX87:CX96" si="184">(K87*22.99*2/(22.99*2+15.999)+L87*39.098*2/(39.098*2+15.999)+2*J87*40.078/(40.078+15.999))/((F87*2*26.982/(26.982*2+15.999*3))*(D87*28.086/(28.086+15.999*2)))*CW87</f>
        <v>2.0874552175954064</v>
      </c>
      <c r="CY87" s="11">
        <f t="shared" ref="CY87:CY96" si="185">12900/(3.8+0.85*(CX87-1)+LN(496000/BT87))-273.15</f>
        <v>711.46310120203236</v>
      </c>
      <c r="CZ87" s="11">
        <f t="shared" ref="CZ87:CZ96" si="186">10108/(1.48+1.16*(CX87-1)+LN(496000/BT87))-273.15</f>
        <v>635.94875817036723</v>
      </c>
      <c r="DA87" s="216"/>
      <c r="DB87" s="216"/>
      <c r="DC87" s="216"/>
      <c r="DD87" s="100"/>
      <c r="DE87" s="100"/>
      <c r="DF87" s="32"/>
      <c r="DG87" s="32"/>
    </row>
    <row r="88" spans="1:111" s="2" customFormat="1" ht="14" customHeight="1">
      <c r="A88" s="3" t="s">
        <v>178</v>
      </c>
      <c r="B88" s="3" t="s">
        <v>94</v>
      </c>
      <c r="C88" s="3" t="s">
        <v>202</v>
      </c>
      <c r="D88" s="4">
        <v>58.63</v>
      </c>
      <c r="E88" s="10">
        <v>0.68</v>
      </c>
      <c r="F88" s="10">
        <v>17.53</v>
      </c>
      <c r="G88" s="10">
        <v>5.93</v>
      </c>
      <c r="H88" s="10">
        <v>7.0000000000000007E-2</v>
      </c>
      <c r="I88" s="10">
        <v>3.03</v>
      </c>
      <c r="J88" s="10">
        <v>6.82</v>
      </c>
      <c r="K88" s="10">
        <v>4.67</v>
      </c>
      <c r="L88" s="10">
        <v>1.1100000000000001</v>
      </c>
      <c r="M88" s="10">
        <v>0.16</v>
      </c>
      <c r="N88" s="3"/>
      <c r="O88" s="3"/>
      <c r="P88" s="3"/>
      <c r="Q88" s="3"/>
      <c r="R88" s="10">
        <f t="shared" si="111"/>
        <v>59.438361719383614</v>
      </c>
      <c r="S88" s="10">
        <f t="shared" si="112"/>
        <v>0.69035532994923854</v>
      </c>
      <c r="T88" s="10">
        <f t="shared" si="113"/>
        <v>17.77169505271695</v>
      </c>
      <c r="U88" s="10">
        <f t="shared" si="114"/>
        <v>6.011759935117599</v>
      </c>
      <c r="V88" s="10">
        <f t="shared" si="115"/>
        <v>7.0965125709651272E-2</v>
      </c>
      <c r="W88" s="10">
        <f t="shared" si="116"/>
        <v>3.0717761557177616</v>
      </c>
      <c r="X88" s="10">
        <f t="shared" si="117"/>
        <v>6.9140308191403079</v>
      </c>
      <c r="Y88" s="10">
        <f t="shared" si="118"/>
        <v>4.7343876723438765</v>
      </c>
      <c r="Z88" s="10">
        <f t="shared" si="119"/>
        <v>1.1253041362530416</v>
      </c>
      <c r="AA88" s="10">
        <f t="shared" si="120"/>
        <v>0.16220600162206</v>
      </c>
      <c r="AB88" s="10">
        <f t="shared" si="121"/>
        <v>0</v>
      </c>
      <c r="AC88" s="10">
        <f t="shared" si="122"/>
        <v>0</v>
      </c>
      <c r="AD88" s="10">
        <f t="shared" si="123"/>
        <v>0</v>
      </c>
      <c r="AE88" s="10"/>
      <c r="AF88" s="3"/>
      <c r="AG88" s="3"/>
      <c r="AH88" s="4">
        <v>2.34</v>
      </c>
      <c r="AI88" s="4">
        <v>100.98</v>
      </c>
      <c r="AJ88" s="11">
        <f t="shared" si="168"/>
        <v>9214.6496815286628</v>
      </c>
      <c r="AK88" s="11">
        <f t="shared" si="169"/>
        <v>4075.4704696558028</v>
      </c>
      <c r="AL88" s="11">
        <f t="shared" si="170"/>
        <v>698.21051148372544</v>
      </c>
      <c r="AM88" s="4">
        <v>247</v>
      </c>
      <c r="AN88" s="4">
        <v>20</v>
      </c>
      <c r="AO88" s="4"/>
      <c r="AP88" s="4"/>
      <c r="AQ88" s="4"/>
      <c r="AR88" s="4"/>
      <c r="AS88" s="11">
        <v>172</v>
      </c>
      <c r="AT88" s="11">
        <v>2199</v>
      </c>
      <c r="AU88" s="11">
        <v>117</v>
      </c>
      <c r="AV88" s="4"/>
      <c r="AW88" s="11">
        <v>38.950000000000003</v>
      </c>
      <c r="AX88" s="11">
        <v>266</v>
      </c>
      <c r="AY88" s="4">
        <v>8.82</v>
      </c>
      <c r="AZ88" s="4">
        <v>0.83499999999999996</v>
      </c>
      <c r="BA88" s="4">
        <v>10.17</v>
      </c>
      <c r="BB88" s="4">
        <v>24.5</v>
      </c>
      <c r="BC88" s="4">
        <v>3.1509999999999998</v>
      </c>
      <c r="BD88" s="4">
        <v>12.89</v>
      </c>
      <c r="BE88" s="4">
        <v>2.67</v>
      </c>
      <c r="BF88" s="4">
        <v>1.5880000000000001</v>
      </c>
      <c r="BG88" s="4">
        <v>2.3439999999999999</v>
      </c>
      <c r="BH88" s="4">
        <v>0.32500000000000001</v>
      </c>
      <c r="BI88" s="4">
        <v>1.7649999999999999</v>
      </c>
      <c r="BJ88" s="4">
        <v>0.33600000000000002</v>
      </c>
      <c r="BK88" s="4">
        <v>0.89200000000000002</v>
      </c>
      <c r="BL88" s="4">
        <v>0.126</v>
      </c>
      <c r="BM88" s="4">
        <v>0.81</v>
      </c>
      <c r="BN88" s="4">
        <v>0.124</v>
      </c>
      <c r="BO88" s="4"/>
      <c r="BP88" s="4">
        <v>1.58</v>
      </c>
      <c r="BQ88" s="4">
        <v>0.45200000000000001</v>
      </c>
      <c r="BR88" s="4">
        <v>6.9</v>
      </c>
      <c r="BS88" s="4">
        <v>0.5</v>
      </c>
      <c r="BT88" s="11">
        <v>125.8</v>
      </c>
      <c r="BU88" s="4">
        <v>3.3</v>
      </c>
      <c r="BV88" s="3"/>
      <c r="BW88" s="3"/>
      <c r="BX88" s="3" t="s">
        <v>179</v>
      </c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11">
        <f t="shared" si="171"/>
        <v>45.040060818918207</v>
      </c>
      <c r="CJ88" s="10">
        <f t="shared" si="172"/>
        <v>0.62689714969228238</v>
      </c>
      <c r="CK88" s="10">
        <f t="shared" si="173"/>
        <v>0.23768736616702357</v>
      </c>
      <c r="CL88" s="4">
        <f t="shared" si="174"/>
        <v>5.78</v>
      </c>
      <c r="CM88" s="4">
        <f t="shared" si="175"/>
        <v>30.158730158730158</v>
      </c>
      <c r="CN88" s="4">
        <f t="shared" si="176"/>
        <v>14.263038548752833</v>
      </c>
      <c r="CO88" s="4">
        <f t="shared" si="177"/>
        <v>13.8</v>
      </c>
      <c r="CP88" s="4">
        <f t="shared" si="178"/>
        <v>8.5293014533520868</v>
      </c>
      <c r="CQ88" s="4">
        <f t="shared" si="179"/>
        <v>12.555555555555555</v>
      </c>
      <c r="CR88" s="4">
        <f t="shared" si="180"/>
        <v>2.1790123456790123</v>
      </c>
      <c r="CS88" s="10">
        <f t="shared" si="181"/>
        <v>1.934929138459736</v>
      </c>
      <c r="CT88" s="4"/>
      <c r="CU88" s="40">
        <f t="shared" si="182"/>
        <v>823.42637562814423</v>
      </c>
      <c r="CV88" s="40"/>
      <c r="CW88" s="4">
        <f t="shared" si="183"/>
        <v>50.384796884574563</v>
      </c>
      <c r="CX88" s="4">
        <f t="shared" si="184"/>
        <v>2.8007524025017276</v>
      </c>
      <c r="CY88" s="11">
        <f t="shared" si="185"/>
        <v>674.66315747605324</v>
      </c>
      <c r="CZ88" s="11">
        <f t="shared" si="186"/>
        <v>579.95300171893962</v>
      </c>
      <c r="DA88" s="216"/>
      <c r="DB88" s="216"/>
      <c r="DC88" s="216"/>
      <c r="DD88" s="100"/>
      <c r="DE88" s="100"/>
      <c r="DF88" s="32"/>
      <c r="DG88" s="32"/>
    </row>
    <row r="89" spans="1:111" s="2" customFormat="1" ht="14" customHeight="1">
      <c r="A89" s="3" t="s">
        <v>180</v>
      </c>
      <c r="B89" s="3" t="s">
        <v>94</v>
      </c>
      <c r="C89" s="3" t="s">
        <v>181</v>
      </c>
      <c r="D89" s="4">
        <v>60.59</v>
      </c>
      <c r="E89" s="10">
        <v>0.64</v>
      </c>
      <c r="F89" s="10">
        <v>17.98</v>
      </c>
      <c r="G89" s="10">
        <v>5.4</v>
      </c>
      <c r="H89" s="10">
        <v>0.09</v>
      </c>
      <c r="I89" s="10">
        <v>3.15</v>
      </c>
      <c r="J89" s="10">
        <v>5.95</v>
      </c>
      <c r="K89" s="10">
        <v>3.74</v>
      </c>
      <c r="L89" s="10">
        <v>1.01</v>
      </c>
      <c r="M89" s="10">
        <v>0.14000000000000001</v>
      </c>
      <c r="N89" s="3"/>
      <c r="O89" s="3"/>
      <c r="P89" s="3"/>
      <c r="Q89" s="3"/>
      <c r="R89" s="10">
        <f t="shared" si="111"/>
        <v>61.394264869794306</v>
      </c>
      <c r="S89" s="10">
        <f t="shared" si="112"/>
        <v>0.64974619289340096</v>
      </c>
      <c r="T89" s="10">
        <f t="shared" si="113"/>
        <v>18.218664505015706</v>
      </c>
      <c r="U89" s="10">
        <f t="shared" si="114"/>
        <v>5.4716789948323035</v>
      </c>
      <c r="V89" s="10">
        <f t="shared" si="115"/>
        <v>9.1194649913871717E-2</v>
      </c>
      <c r="W89" s="10">
        <f t="shared" si="116"/>
        <v>3.1918127469855104</v>
      </c>
      <c r="X89" s="10">
        <f t="shared" si="117"/>
        <v>6.0289796331948526</v>
      </c>
      <c r="Y89" s="10">
        <f t="shared" si="118"/>
        <v>3.789644340865336</v>
      </c>
      <c r="Z89" s="10">
        <f t="shared" si="119"/>
        <v>1.0234066268112272</v>
      </c>
      <c r="AA89" s="10">
        <f t="shared" si="120"/>
        <v>0.14185834431046715</v>
      </c>
      <c r="AB89" s="10">
        <f t="shared" si="121"/>
        <v>0</v>
      </c>
      <c r="AC89" s="10">
        <f t="shared" si="122"/>
        <v>0</v>
      </c>
      <c r="AD89" s="10">
        <f t="shared" si="123"/>
        <v>0</v>
      </c>
      <c r="AE89" s="10"/>
      <c r="AF89" s="3"/>
      <c r="AG89" s="3"/>
      <c r="AH89" s="4">
        <v>2.1800000000000002</v>
      </c>
      <c r="AI89" s="4">
        <v>100.87</v>
      </c>
      <c r="AJ89" s="11">
        <f t="shared" si="168"/>
        <v>8384.5010615711253</v>
      </c>
      <c r="AK89" s="11">
        <f t="shared" si="169"/>
        <v>3835.7369126172262</v>
      </c>
      <c r="AL89" s="11">
        <f t="shared" si="170"/>
        <v>610.93419754825982</v>
      </c>
      <c r="AM89" s="4">
        <v>296</v>
      </c>
      <c r="AN89" s="4">
        <v>12</v>
      </c>
      <c r="AO89" s="4"/>
      <c r="AP89" s="4"/>
      <c r="AQ89" s="4"/>
      <c r="AR89" s="4"/>
      <c r="AS89" s="11">
        <v>41</v>
      </c>
      <c r="AT89" s="11">
        <v>102</v>
      </c>
      <c r="AU89" s="11">
        <v>100</v>
      </c>
      <c r="AV89" s="4"/>
      <c r="AW89" s="11">
        <v>27.44</v>
      </c>
      <c r="AX89" s="11">
        <v>299.7</v>
      </c>
      <c r="AY89" s="4">
        <v>8.65</v>
      </c>
      <c r="AZ89" s="4">
        <v>1.2470000000000001</v>
      </c>
      <c r="BA89" s="4">
        <v>11.57</v>
      </c>
      <c r="BB89" s="4">
        <v>25.27</v>
      </c>
      <c r="BC89" s="4">
        <v>3.145</v>
      </c>
      <c r="BD89" s="4">
        <v>12.58</v>
      </c>
      <c r="BE89" s="4">
        <v>2.6</v>
      </c>
      <c r="BF89" s="4">
        <v>0.78</v>
      </c>
      <c r="BG89" s="4">
        <v>2.2669999999999999</v>
      </c>
      <c r="BH89" s="4">
        <v>0.317</v>
      </c>
      <c r="BI89" s="4">
        <v>1.7689999999999999</v>
      </c>
      <c r="BJ89" s="4">
        <v>0.33500000000000002</v>
      </c>
      <c r="BK89" s="4">
        <v>0.91800000000000004</v>
      </c>
      <c r="BL89" s="4">
        <v>0.13200000000000001</v>
      </c>
      <c r="BM89" s="4">
        <v>0.81</v>
      </c>
      <c r="BN89" s="4">
        <v>0.121</v>
      </c>
      <c r="BO89" s="4"/>
      <c r="BP89" s="4">
        <v>1.84</v>
      </c>
      <c r="BQ89" s="4">
        <v>0.46700000000000003</v>
      </c>
      <c r="BR89" s="4">
        <v>5.7</v>
      </c>
      <c r="BS89" s="4">
        <v>0.48</v>
      </c>
      <c r="BT89" s="11">
        <v>97.5</v>
      </c>
      <c r="BU89" s="4">
        <v>2.8</v>
      </c>
      <c r="BV89" s="3"/>
      <c r="BW89" s="3"/>
      <c r="BX89" s="3">
        <v>10</v>
      </c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11">
        <f t="shared" si="171"/>
        <v>48.335936944389132</v>
      </c>
      <c r="CJ89" s="10">
        <f t="shared" si="172"/>
        <v>0.75760551657754194</v>
      </c>
      <c r="CK89" s="10">
        <f t="shared" si="173"/>
        <v>0.27005347593582885</v>
      </c>
      <c r="CL89" s="4">
        <f t="shared" si="174"/>
        <v>4.75</v>
      </c>
      <c r="CM89" s="4">
        <f t="shared" si="175"/>
        <v>34.647398843930631</v>
      </c>
      <c r="CN89" s="4">
        <f t="shared" si="176"/>
        <v>11.271676300578035</v>
      </c>
      <c r="CO89" s="4">
        <f t="shared" si="177"/>
        <v>11.875</v>
      </c>
      <c r="CP89" s="4">
        <f t="shared" si="178"/>
        <v>9.7034432463405746</v>
      </c>
      <c r="CQ89" s="4">
        <f t="shared" si="179"/>
        <v>14.283950617283949</v>
      </c>
      <c r="CR89" s="4">
        <f t="shared" si="180"/>
        <v>2.1839506172839505</v>
      </c>
      <c r="CS89" s="10">
        <f t="shared" si="181"/>
        <v>0.97933476065411273</v>
      </c>
      <c r="CT89" s="4"/>
      <c r="CU89" s="40">
        <f t="shared" si="182"/>
        <v>833.75820573217391</v>
      </c>
      <c r="CV89" s="40"/>
      <c r="CW89" s="4">
        <f t="shared" si="183"/>
        <v>50.574192222271407</v>
      </c>
      <c r="CX89" s="4">
        <f t="shared" si="184"/>
        <v>2.2738653336913801</v>
      </c>
      <c r="CY89" s="11">
        <f t="shared" si="185"/>
        <v>688.29785200541141</v>
      </c>
      <c r="CZ89" s="11">
        <f t="shared" si="186"/>
        <v>606.40594946033343</v>
      </c>
      <c r="DA89" s="216"/>
      <c r="DB89" s="216"/>
      <c r="DC89" s="216"/>
      <c r="DD89" s="100"/>
      <c r="DE89" s="100"/>
      <c r="DF89" s="32"/>
      <c r="DG89" s="32"/>
    </row>
    <row r="90" spans="1:111" s="2" customFormat="1" ht="14" customHeight="1">
      <c r="A90" s="3" t="s">
        <v>182</v>
      </c>
      <c r="B90" s="3" t="s">
        <v>94</v>
      </c>
      <c r="C90" s="3" t="s">
        <v>181</v>
      </c>
      <c r="D90" s="4">
        <v>60.82</v>
      </c>
      <c r="E90" s="10">
        <v>0.59</v>
      </c>
      <c r="F90" s="10">
        <v>17.53</v>
      </c>
      <c r="G90" s="10">
        <v>5.03</v>
      </c>
      <c r="H90" s="10">
        <v>7.0000000000000007E-2</v>
      </c>
      <c r="I90" s="10">
        <v>2.83</v>
      </c>
      <c r="J90" s="10">
        <v>5.45</v>
      </c>
      <c r="K90" s="10">
        <v>4.2699999999999996</v>
      </c>
      <c r="L90" s="10">
        <v>1.42</v>
      </c>
      <c r="M90" s="10">
        <v>0.14000000000000001</v>
      </c>
      <c r="N90" s="3"/>
      <c r="O90" s="3"/>
      <c r="P90" s="3"/>
      <c r="Q90" s="3"/>
      <c r="R90" s="10">
        <f t="shared" si="111"/>
        <v>61.960065199673991</v>
      </c>
      <c r="S90" s="10">
        <f t="shared" si="112"/>
        <v>0.59898477157360408</v>
      </c>
      <c r="T90" s="10">
        <f t="shared" si="113"/>
        <v>17.858598207008963</v>
      </c>
      <c r="U90" s="10">
        <f t="shared" si="114"/>
        <v>5.1242868785656066</v>
      </c>
      <c r="V90" s="10">
        <f t="shared" si="115"/>
        <v>7.1312143439282799E-2</v>
      </c>
      <c r="W90" s="10">
        <f t="shared" si="116"/>
        <v>2.8830480847595759</v>
      </c>
      <c r="X90" s="10">
        <f t="shared" si="117"/>
        <v>5.5521597392013033</v>
      </c>
      <c r="Y90" s="10">
        <f t="shared" si="118"/>
        <v>4.3500407497962499</v>
      </c>
      <c r="Z90" s="10">
        <f t="shared" si="119"/>
        <v>1.4466177669111653</v>
      </c>
      <c r="AA90" s="10">
        <f t="shared" si="120"/>
        <v>0.1426242868785656</v>
      </c>
      <c r="AB90" s="10">
        <f t="shared" si="121"/>
        <v>0</v>
      </c>
      <c r="AC90" s="10">
        <f t="shared" si="122"/>
        <v>0</v>
      </c>
      <c r="AD90" s="10">
        <f t="shared" si="123"/>
        <v>0</v>
      </c>
      <c r="AE90" s="10"/>
      <c r="AF90" s="3"/>
      <c r="AG90" s="3"/>
      <c r="AH90" s="4">
        <v>2.27</v>
      </c>
      <c r="AI90" s="4">
        <v>100.43</v>
      </c>
      <c r="AJ90" s="11">
        <f t="shared" si="168"/>
        <v>11788.110403397028</v>
      </c>
      <c r="AK90" s="11">
        <f t="shared" si="169"/>
        <v>3536.0699663190053</v>
      </c>
      <c r="AL90" s="11">
        <f t="shared" si="170"/>
        <v>610.93419754825982</v>
      </c>
      <c r="AM90" s="4">
        <v>332</v>
      </c>
      <c r="AN90" s="4">
        <v>17</v>
      </c>
      <c r="AO90" s="4"/>
      <c r="AP90" s="4"/>
      <c r="AQ90" s="4"/>
      <c r="AR90" s="4"/>
      <c r="AS90" s="11">
        <v>38</v>
      </c>
      <c r="AT90" s="11">
        <v>115</v>
      </c>
      <c r="AU90" s="11">
        <v>69</v>
      </c>
      <c r="AV90" s="4"/>
      <c r="AW90" s="11">
        <v>49.58</v>
      </c>
      <c r="AX90" s="11">
        <v>240.4</v>
      </c>
      <c r="AY90" s="4">
        <v>8.9700000000000006</v>
      </c>
      <c r="AZ90" s="4">
        <v>1.54</v>
      </c>
      <c r="BA90" s="4">
        <v>10.7</v>
      </c>
      <c r="BB90" s="4">
        <v>23.7</v>
      </c>
      <c r="BC90" s="4">
        <v>3.1070000000000002</v>
      </c>
      <c r="BD90" s="4">
        <v>12.84</v>
      </c>
      <c r="BE90" s="4">
        <v>2.6</v>
      </c>
      <c r="BF90" s="4">
        <v>0.81799999999999995</v>
      </c>
      <c r="BG90" s="4">
        <v>2.3250000000000002</v>
      </c>
      <c r="BH90" s="4">
        <v>0.32600000000000001</v>
      </c>
      <c r="BI90" s="4">
        <v>1.742</v>
      </c>
      <c r="BJ90" s="4">
        <v>0.33700000000000002</v>
      </c>
      <c r="BK90" s="4">
        <v>0.91300000000000003</v>
      </c>
      <c r="BL90" s="4">
        <v>0.128</v>
      </c>
      <c r="BM90" s="4">
        <v>0.86</v>
      </c>
      <c r="BN90" s="4">
        <v>0.13</v>
      </c>
      <c r="BO90" s="4"/>
      <c r="BP90" s="4">
        <v>2.5099999999999998</v>
      </c>
      <c r="BQ90" s="4">
        <v>0.52600000000000002</v>
      </c>
      <c r="BR90" s="4">
        <v>6.1</v>
      </c>
      <c r="BS90" s="4">
        <v>0.54</v>
      </c>
      <c r="BT90" s="11">
        <v>89.1</v>
      </c>
      <c r="BU90" s="4">
        <v>2.7</v>
      </c>
      <c r="BV90" s="3"/>
      <c r="BW90" s="3"/>
      <c r="BX90" s="3">
        <v>7</v>
      </c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11">
        <f t="shared" si="171"/>
        <v>47.433909380632102</v>
      </c>
      <c r="CJ90" s="10">
        <f t="shared" si="172"/>
        <v>0.72238414394708317</v>
      </c>
      <c r="CK90" s="10">
        <f t="shared" si="173"/>
        <v>0.33255269320843095</v>
      </c>
      <c r="CL90" s="4">
        <f t="shared" si="174"/>
        <v>5.6899999999999995</v>
      </c>
      <c r="CM90" s="4">
        <f t="shared" si="175"/>
        <v>26.800445930880713</v>
      </c>
      <c r="CN90" s="4">
        <f t="shared" si="176"/>
        <v>9.9331103678929757</v>
      </c>
      <c r="CO90" s="4">
        <f t="shared" si="177"/>
        <v>11.296296296296294</v>
      </c>
      <c r="CP90" s="4">
        <f t="shared" si="178"/>
        <v>8.4520655480325768</v>
      </c>
      <c r="CQ90" s="4">
        <f t="shared" si="179"/>
        <v>12.441860465116278</v>
      </c>
      <c r="CR90" s="4">
        <f t="shared" si="180"/>
        <v>2.0255813953488371</v>
      </c>
      <c r="CS90" s="10">
        <f t="shared" si="181"/>
        <v>1.0141545702399839</v>
      </c>
      <c r="CT90" s="4"/>
      <c r="CU90" s="40">
        <f t="shared" si="182"/>
        <v>836.63221580701804</v>
      </c>
      <c r="CV90" s="40"/>
      <c r="CW90" s="4">
        <f t="shared" si="183"/>
        <v>49.781647445026145</v>
      </c>
      <c r="CX90" s="4">
        <f t="shared" si="184"/>
        <v>2.2905645448848286</v>
      </c>
      <c r="CY90" s="11">
        <f t="shared" si="185"/>
        <v>680.88251441904163</v>
      </c>
      <c r="CZ90" s="11">
        <f t="shared" si="186"/>
        <v>598.10712830231296</v>
      </c>
      <c r="DA90" s="216"/>
      <c r="DB90" s="216"/>
      <c r="DC90" s="216"/>
      <c r="DD90" s="100"/>
      <c r="DE90" s="100"/>
      <c r="DF90" s="32"/>
      <c r="DG90" s="32"/>
    </row>
    <row r="91" spans="1:111" s="2" customFormat="1" ht="14" customHeight="1">
      <c r="A91" s="3" t="s">
        <v>190</v>
      </c>
      <c r="B91" s="3" t="s">
        <v>94</v>
      </c>
      <c r="C91" s="3" t="s">
        <v>183</v>
      </c>
      <c r="D91" s="4">
        <v>66.959999999999994</v>
      </c>
      <c r="E91" s="10">
        <v>0.39</v>
      </c>
      <c r="F91" s="10">
        <v>14.74</v>
      </c>
      <c r="G91" s="10">
        <v>3.5</v>
      </c>
      <c r="H91" s="10">
        <v>0.04</v>
      </c>
      <c r="I91" s="10">
        <v>1.46</v>
      </c>
      <c r="J91" s="10">
        <v>2.84</v>
      </c>
      <c r="K91" s="10">
        <v>5.01</v>
      </c>
      <c r="L91" s="10">
        <v>1.45</v>
      </c>
      <c r="M91" s="10">
        <v>0.13</v>
      </c>
      <c r="N91" s="3"/>
      <c r="O91" s="3"/>
      <c r="P91" s="3"/>
      <c r="Q91" s="3"/>
      <c r="R91" s="10">
        <f t="shared" ref="R91:R96" si="187">100*D91/(AI91-AH91)</f>
        <v>69.374222958972226</v>
      </c>
      <c r="S91" s="10">
        <f t="shared" ref="S91:S96" si="188">100*E91/(AI$3-AH$3)</f>
        <v>0.39593908629441626</v>
      </c>
      <c r="T91" s="10">
        <f t="shared" ref="T91:T96" si="189">100*F91/(AI91-AH91)</f>
        <v>15.271446332366349</v>
      </c>
      <c r="U91" s="10">
        <f t="shared" ref="U91:U96" si="190">100*G91/(AI91-AH91)</f>
        <v>3.6261914629092415</v>
      </c>
      <c r="V91" s="10">
        <f t="shared" ref="V91:V96" si="191">100*H91/(AI91-AH91)</f>
        <v>4.1442188147534191E-2</v>
      </c>
      <c r="W91" s="10">
        <f t="shared" ref="W91:W96" si="192">100*I91/(AI91-AH91)</f>
        <v>1.5126398673849979</v>
      </c>
      <c r="X91" s="10">
        <f t="shared" ref="X91:X96" si="193">100*J91/(AI91-AH91)</f>
        <v>2.9423953584749274</v>
      </c>
      <c r="Y91" s="10">
        <f t="shared" ref="Y91:Y96" si="194">100*K91/(AI91-AH91)</f>
        <v>5.1906340654786574</v>
      </c>
      <c r="Z91" s="10">
        <f t="shared" ref="Z91:Z96" si="195">100*L91/(AI91-AH91)</f>
        <v>1.5022793203481144</v>
      </c>
      <c r="AA91" s="10">
        <f t="shared" ref="AA91:AA96" si="196">100*M91/(AI91-AH91)</f>
        <v>0.13468711147948612</v>
      </c>
      <c r="AB91" s="10">
        <f t="shared" ref="AB91:AB96" si="197">100*N91/(AI91-AH91)</f>
        <v>0</v>
      </c>
      <c r="AC91" s="10">
        <f t="shared" ref="AC91:AC96" si="198">100*O91/(AI91-AH91)</f>
        <v>0</v>
      </c>
      <c r="AD91" s="10">
        <f t="shared" ref="AD91:AD96" si="199">100*P91/(AI91-AH91)</f>
        <v>0</v>
      </c>
      <c r="AE91" s="10"/>
      <c r="AF91" s="3"/>
      <c r="AG91" s="3"/>
      <c r="AH91" s="4">
        <v>2.39</v>
      </c>
      <c r="AI91" s="4">
        <v>98.91</v>
      </c>
      <c r="AJ91" s="11">
        <f t="shared" si="168"/>
        <v>12037.154989384289</v>
      </c>
      <c r="AK91" s="11">
        <f t="shared" si="169"/>
        <v>2337.4021811261223</v>
      </c>
      <c r="AL91" s="11">
        <f t="shared" si="170"/>
        <v>567.29604058052689</v>
      </c>
      <c r="AM91" s="4">
        <v>264</v>
      </c>
      <c r="AN91" s="4">
        <v>11</v>
      </c>
      <c r="AO91" s="4"/>
      <c r="AP91" s="4"/>
      <c r="AQ91" s="4"/>
      <c r="AR91" s="4"/>
      <c r="AS91" s="11">
        <v>17</v>
      </c>
      <c r="AT91" s="11">
        <v>593</v>
      </c>
      <c r="AU91" s="11">
        <v>66</v>
      </c>
      <c r="AV91" s="4"/>
      <c r="AW91" s="11">
        <v>40.82</v>
      </c>
      <c r="AX91" s="11">
        <v>183.2</v>
      </c>
      <c r="AY91" s="4">
        <v>7.55</v>
      </c>
      <c r="AZ91" s="4">
        <v>0.81699999999999995</v>
      </c>
      <c r="BA91" s="4">
        <v>6.68</v>
      </c>
      <c r="BB91" s="4">
        <v>14.66</v>
      </c>
      <c r="BC91" s="4">
        <v>1.93</v>
      </c>
      <c r="BD91" s="4">
        <v>8.73</v>
      </c>
      <c r="BE91" s="4">
        <v>1.94</v>
      </c>
      <c r="BF91" s="4">
        <v>0.61699999999999999</v>
      </c>
      <c r="BG91" s="4">
        <v>1.827</v>
      </c>
      <c r="BH91" s="4">
        <v>0.24299999999999999</v>
      </c>
      <c r="BI91" s="4">
        <v>1.3540000000000001</v>
      </c>
      <c r="BJ91" s="4">
        <v>0.26400000000000001</v>
      </c>
      <c r="BK91" s="4">
        <v>0.73399999999999999</v>
      </c>
      <c r="BL91" s="4">
        <v>0.104</v>
      </c>
      <c r="BM91" s="4">
        <v>0.69</v>
      </c>
      <c r="BN91" s="4">
        <v>0.105</v>
      </c>
      <c r="BO91" s="4"/>
      <c r="BP91" s="4">
        <v>1.73</v>
      </c>
      <c r="BQ91" s="4">
        <v>0.35</v>
      </c>
      <c r="BR91" s="4">
        <v>4.7</v>
      </c>
      <c r="BS91" s="4">
        <v>0.38</v>
      </c>
      <c r="BT91" s="11">
        <v>98.6</v>
      </c>
      <c r="BU91" s="4">
        <v>2.9</v>
      </c>
      <c r="BV91" s="3"/>
      <c r="BW91" s="3"/>
      <c r="BX91" s="3">
        <v>3</v>
      </c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11">
        <f t="shared" si="171"/>
        <v>40.085181212763942</v>
      </c>
      <c r="CJ91" s="10">
        <f t="shared" si="172"/>
        <v>0.74919934230677054</v>
      </c>
      <c r="CK91" s="10">
        <f t="shared" si="173"/>
        <v>0.28942115768463073</v>
      </c>
      <c r="CL91" s="4">
        <f t="shared" si="174"/>
        <v>6.46</v>
      </c>
      <c r="CM91" s="4">
        <f t="shared" si="175"/>
        <v>24.264900662251655</v>
      </c>
      <c r="CN91" s="4">
        <f t="shared" si="176"/>
        <v>13.059602649006623</v>
      </c>
      <c r="CO91" s="4">
        <f t="shared" si="177"/>
        <v>12.368421052631579</v>
      </c>
      <c r="CP91" s="4">
        <f t="shared" si="178"/>
        <v>6.5766526019690579</v>
      </c>
      <c r="CQ91" s="4">
        <f t="shared" si="179"/>
        <v>9.6811594202898554</v>
      </c>
      <c r="CR91" s="4">
        <f t="shared" si="180"/>
        <v>1.9623188405797105</v>
      </c>
      <c r="CS91" s="10">
        <f t="shared" si="181"/>
        <v>0.99899663749147904</v>
      </c>
      <c r="CT91" s="4"/>
      <c r="CU91" s="40">
        <f t="shared" si="182"/>
        <v>899.82635545322125</v>
      </c>
      <c r="CV91" s="40"/>
      <c r="CW91" s="4">
        <f t="shared" si="183"/>
        <v>46.658636731567384</v>
      </c>
      <c r="CX91" s="4">
        <f t="shared" si="184"/>
        <v>1.7158959949766246</v>
      </c>
      <c r="CY91" s="11">
        <f t="shared" si="185"/>
        <v>724.39314095862642</v>
      </c>
      <c r="CZ91" s="11">
        <f t="shared" si="186"/>
        <v>659.86463532524363</v>
      </c>
      <c r="DA91" s="216"/>
      <c r="DB91" s="216"/>
      <c r="DC91" s="216"/>
      <c r="DD91" s="100"/>
      <c r="DE91" s="100"/>
      <c r="DF91" s="32"/>
      <c r="DG91" s="32"/>
    </row>
    <row r="92" spans="1:111" s="2" customFormat="1" ht="14" customHeight="1">
      <c r="A92" s="3" t="s">
        <v>189</v>
      </c>
      <c r="B92" s="3" t="s">
        <v>94</v>
      </c>
      <c r="C92" s="3" t="s">
        <v>183</v>
      </c>
      <c r="D92" s="4">
        <v>68.42</v>
      </c>
      <c r="E92" s="10">
        <v>0.38</v>
      </c>
      <c r="F92" s="10">
        <v>14.16</v>
      </c>
      <c r="G92" s="10">
        <v>4.7300000000000004</v>
      </c>
      <c r="H92" s="10">
        <v>3.2000000000000001E-2</v>
      </c>
      <c r="I92" s="10">
        <v>1.41</v>
      </c>
      <c r="J92" s="10">
        <v>2.3199999999999998</v>
      </c>
      <c r="K92" s="10">
        <v>4.72</v>
      </c>
      <c r="L92" s="10">
        <v>1.27</v>
      </c>
      <c r="M92" s="10">
        <v>0.11</v>
      </c>
      <c r="N92" s="3"/>
      <c r="O92" s="3"/>
      <c r="P92" s="3"/>
      <c r="Q92" s="3"/>
      <c r="R92" s="10">
        <f t="shared" si="187"/>
        <v>70.138390568939002</v>
      </c>
      <c r="S92" s="10">
        <f t="shared" si="188"/>
        <v>0.38578680203045684</v>
      </c>
      <c r="T92" s="10">
        <f t="shared" si="189"/>
        <v>14.515633008713481</v>
      </c>
      <c r="U92" s="10">
        <f t="shared" si="190"/>
        <v>4.8487954894925682</v>
      </c>
      <c r="V92" s="10">
        <f t="shared" si="191"/>
        <v>3.2803690415171713E-2</v>
      </c>
      <c r="W92" s="10">
        <f t="shared" si="192"/>
        <v>1.4454126089185033</v>
      </c>
      <c r="X92" s="10">
        <f t="shared" si="193"/>
        <v>2.3782675550999484</v>
      </c>
      <c r="Y92" s="10">
        <f t="shared" si="194"/>
        <v>4.8385443362378266</v>
      </c>
      <c r="Z92" s="10">
        <f t="shared" si="195"/>
        <v>1.3018964633521271</v>
      </c>
      <c r="AA92" s="10">
        <f t="shared" si="196"/>
        <v>0.11276268580215275</v>
      </c>
      <c r="AB92" s="10">
        <f t="shared" si="197"/>
        <v>0</v>
      </c>
      <c r="AC92" s="10">
        <f t="shared" si="198"/>
        <v>0</v>
      </c>
      <c r="AD92" s="10">
        <f t="shared" si="199"/>
        <v>0</v>
      </c>
      <c r="AE92" s="10"/>
      <c r="AF92" s="3"/>
      <c r="AG92" s="3"/>
      <c r="AH92" s="4">
        <v>2.48</v>
      </c>
      <c r="AI92" s="4">
        <v>100.03</v>
      </c>
      <c r="AJ92" s="11">
        <f t="shared" si="168"/>
        <v>10542.887473460723</v>
      </c>
      <c r="AK92" s="11">
        <f t="shared" si="169"/>
        <v>2277.4687918664781</v>
      </c>
      <c r="AL92" s="11">
        <f t="shared" si="170"/>
        <v>480.01972664506127</v>
      </c>
      <c r="AM92" s="4">
        <v>266</v>
      </c>
      <c r="AN92" s="4">
        <v>12</v>
      </c>
      <c r="AO92" s="4"/>
      <c r="AP92" s="4"/>
      <c r="AQ92" s="4"/>
      <c r="AR92" s="4"/>
      <c r="AS92" s="11">
        <v>11</v>
      </c>
      <c r="AT92" s="11">
        <v>314</v>
      </c>
      <c r="AU92" s="11">
        <v>68</v>
      </c>
      <c r="AV92" s="4"/>
      <c r="AW92" s="11">
        <v>37.9</v>
      </c>
      <c r="AX92" s="11">
        <v>190</v>
      </c>
      <c r="AY92" s="4">
        <v>6.99</v>
      </c>
      <c r="AZ92" s="4">
        <v>1.016</v>
      </c>
      <c r="BA92" s="4">
        <v>7.36</v>
      </c>
      <c r="BB92" s="4">
        <v>16.16</v>
      </c>
      <c r="BC92" s="4">
        <v>2.089</v>
      </c>
      <c r="BD92" s="4">
        <v>9.06</v>
      </c>
      <c r="BE92" s="4">
        <v>2</v>
      </c>
      <c r="BF92" s="4">
        <v>0.68</v>
      </c>
      <c r="BG92" s="4">
        <v>1.706</v>
      </c>
      <c r="BH92" s="4">
        <v>0.24399999999999999</v>
      </c>
      <c r="BI92" s="4">
        <v>1.327</v>
      </c>
      <c r="BJ92" s="4">
        <v>0.25700000000000001</v>
      </c>
      <c r="BK92" s="4">
        <v>0.71699999999999997</v>
      </c>
      <c r="BL92" s="4">
        <v>0.10299999999999999</v>
      </c>
      <c r="BM92" s="4">
        <v>0.68</v>
      </c>
      <c r="BN92" s="4">
        <v>0.10100000000000001</v>
      </c>
      <c r="BO92" s="4"/>
      <c r="BP92" s="4">
        <v>1.56</v>
      </c>
      <c r="BQ92" s="4">
        <v>0.375</v>
      </c>
      <c r="BR92" s="4">
        <v>4.2</v>
      </c>
      <c r="BS92" s="4">
        <v>0.32</v>
      </c>
      <c r="BT92" s="11">
        <v>94.8</v>
      </c>
      <c r="BU92" s="4">
        <v>2.7</v>
      </c>
      <c r="BV92" s="3"/>
      <c r="BW92" s="3"/>
      <c r="BX92" s="3" t="s">
        <v>184</v>
      </c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11">
        <f t="shared" si="171"/>
        <v>32.34578123812814</v>
      </c>
      <c r="CJ92" s="10">
        <f t="shared" si="172"/>
        <v>0.80686367769384904</v>
      </c>
      <c r="CK92" s="10">
        <f t="shared" si="173"/>
        <v>0.2690677966101695</v>
      </c>
      <c r="CL92" s="4">
        <f t="shared" si="174"/>
        <v>5.99</v>
      </c>
      <c r="CM92" s="4">
        <f t="shared" si="175"/>
        <v>27.181688125894134</v>
      </c>
      <c r="CN92" s="4">
        <f t="shared" si="176"/>
        <v>13.562231759656651</v>
      </c>
      <c r="CO92" s="4">
        <f t="shared" si="177"/>
        <v>13.125</v>
      </c>
      <c r="CP92" s="4">
        <f t="shared" si="178"/>
        <v>7.3526929759245485</v>
      </c>
      <c r="CQ92" s="4">
        <f t="shared" si="179"/>
        <v>10.823529411764705</v>
      </c>
      <c r="CR92" s="4">
        <f t="shared" si="180"/>
        <v>1.9514705882352938</v>
      </c>
      <c r="CS92" s="10">
        <f t="shared" si="181"/>
        <v>1.1221564304626102</v>
      </c>
      <c r="CT92" s="4"/>
      <c r="CU92" s="40">
        <f t="shared" si="182"/>
        <v>897.80754292397648</v>
      </c>
      <c r="CV92" s="40"/>
      <c r="CW92" s="4">
        <f t="shared" si="183"/>
        <v>47.299221266926068</v>
      </c>
      <c r="CX92" s="4">
        <f t="shared" si="184"/>
        <v>1.5534453636836885</v>
      </c>
      <c r="CY92" s="11">
        <f t="shared" si="185"/>
        <v>732.07167028619756</v>
      </c>
      <c r="CZ92" s="11">
        <f t="shared" si="186"/>
        <v>672.88816126545476</v>
      </c>
      <c r="DA92" s="216"/>
      <c r="DB92" s="216"/>
      <c r="DC92" s="216"/>
      <c r="DD92" s="100"/>
      <c r="DE92" s="100"/>
      <c r="DF92" s="32"/>
      <c r="DG92" s="32"/>
    </row>
    <row r="93" spans="1:111" s="2" customFormat="1" ht="14" customHeight="1">
      <c r="A93" s="3" t="s">
        <v>185</v>
      </c>
      <c r="B93" s="3" t="s">
        <v>94</v>
      </c>
      <c r="C93" s="3" t="s">
        <v>83</v>
      </c>
      <c r="D93" s="4">
        <v>67.45</v>
      </c>
      <c r="E93" s="10">
        <v>0.38</v>
      </c>
      <c r="F93" s="10">
        <v>15.48</v>
      </c>
      <c r="G93" s="10">
        <v>3.4</v>
      </c>
      <c r="H93" s="10">
        <v>2.5000000000000001E-2</v>
      </c>
      <c r="I93" s="10">
        <v>1.3</v>
      </c>
      <c r="J93" s="10">
        <v>2.67</v>
      </c>
      <c r="K93" s="10">
        <v>4.6500000000000004</v>
      </c>
      <c r="L93" s="10">
        <v>1.5</v>
      </c>
      <c r="M93" s="10">
        <v>0.1</v>
      </c>
      <c r="N93" s="3"/>
      <c r="O93" s="3"/>
      <c r="P93" s="3"/>
      <c r="Q93" s="3"/>
      <c r="R93" s="10">
        <f t="shared" si="187"/>
        <v>69.564768976897682</v>
      </c>
      <c r="S93" s="10">
        <f t="shared" si="188"/>
        <v>0.38578680203045684</v>
      </c>
      <c r="T93" s="10">
        <f t="shared" si="189"/>
        <v>15.965346534653465</v>
      </c>
      <c r="U93" s="10">
        <f t="shared" si="190"/>
        <v>3.5066006600660065</v>
      </c>
      <c r="V93" s="10">
        <f t="shared" si="191"/>
        <v>2.578382838283828E-2</v>
      </c>
      <c r="W93" s="10">
        <f t="shared" si="192"/>
        <v>1.3407590759075907</v>
      </c>
      <c r="X93" s="10">
        <f t="shared" si="193"/>
        <v>2.7537128712871284</v>
      </c>
      <c r="Y93" s="10">
        <f t="shared" si="194"/>
        <v>4.7957920792079207</v>
      </c>
      <c r="Z93" s="10">
        <f t="shared" si="195"/>
        <v>1.5470297029702968</v>
      </c>
      <c r="AA93" s="10">
        <f t="shared" si="196"/>
        <v>0.10313531353135312</v>
      </c>
      <c r="AB93" s="10">
        <f t="shared" si="197"/>
        <v>0</v>
      </c>
      <c r="AC93" s="10">
        <f t="shared" si="198"/>
        <v>0</v>
      </c>
      <c r="AD93" s="10">
        <f t="shared" si="199"/>
        <v>0</v>
      </c>
      <c r="AE93" s="10"/>
      <c r="AF93" s="3"/>
      <c r="AG93" s="3"/>
      <c r="AH93" s="4">
        <v>2.33</v>
      </c>
      <c r="AI93" s="4">
        <v>99.29</v>
      </c>
      <c r="AJ93" s="11">
        <f t="shared" si="168"/>
        <v>12452.229299363058</v>
      </c>
      <c r="AK93" s="11">
        <f t="shared" si="169"/>
        <v>2277.4687918664781</v>
      </c>
      <c r="AL93" s="11">
        <f t="shared" si="170"/>
        <v>436.3815696773284</v>
      </c>
      <c r="AM93" s="4">
        <v>244</v>
      </c>
      <c r="AN93" s="4">
        <v>9</v>
      </c>
      <c r="AO93" s="4"/>
      <c r="AP93" s="4"/>
      <c r="AQ93" s="4"/>
      <c r="AR93" s="4"/>
      <c r="AS93" s="11">
        <v>7</v>
      </c>
      <c r="AT93" s="11">
        <v>294</v>
      </c>
      <c r="AU93" s="11">
        <v>31</v>
      </c>
      <c r="AV93" s="4"/>
      <c r="AW93" s="11">
        <v>43.2</v>
      </c>
      <c r="AX93" s="11">
        <v>243.4</v>
      </c>
      <c r="AY93" s="4">
        <v>8.92</v>
      </c>
      <c r="AZ93" s="4">
        <v>0.95399999999999996</v>
      </c>
      <c r="BA93" s="4">
        <v>12.05</v>
      </c>
      <c r="BB93" s="4">
        <v>25.44</v>
      </c>
      <c r="BC93" s="4">
        <v>3.25</v>
      </c>
      <c r="BD93" s="4">
        <v>12.96</v>
      </c>
      <c r="BE93" s="4">
        <v>2.76</v>
      </c>
      <c r="BF93" s="4">
        <v>0.83899999999999997</v>
      </c>
      <c r="BG93" s="4">
        <v>2.37</v>
      </c>
      <c r="BH93" s="4">
        <v>0.33100000000000002</v>
      </c>
      <c r="BI93" s="4">
        <v>1.766</v>
      </c>
      <c r="BJ93" s="4">
        <v>0.33600000000000002</v>
      </c>
      <c r="BK93" s="4">
        <v>0.93799999999999994</v>
      </c>
      <c r="BL93" s="4">
        <v>0.13800000000000001</v>
      </c>
      <c r="BM93" s="4">
        <v>0.9</v>
      </c>
      <c r="BN93" s="4">
        <v>0.13500000000000001</v>
      </c>
      <c r="BO93" s="4"/>
      <c r="BP93" s="4">
        <v>2.17</v>
      </c>
      <c r="BQ93" s="4">
        <v>0.73899999999999999</v>
      </c>
      <c r="BR93" s="4">
        <v>5.2</v>
      </c>
      <c r="BS93" s="4">
        <v>0.47</v>
      </c>
      <c r="BT93" s="11">
        <v>102.3</v>
      </c>
      <c r="BU93" s="4">
        <v>3.1</v>
      </c>
      <c r="BV93" s="3"/>
      <c r="BW93" s="3"/>
      <c r="BX93" s="3">
        <v>12</v>
      </c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11">
        <f t="shared" si="171"/>
        <v>38.012875076456005</v>
      </c>
      <c r="CJ93" s="10">
        <f t="shared" si="172"/>
        <v>0.83399451458345386</v>
      </c>
      <c r="CK93" s="10">
        <f t="shared" si="173"/>
        <v>0.32258064516129031</v>
      </c>
      <c r="CL93" s="4">
        <f t="shared" si="174"/>
        <v>6.15</v>
      </c>
      <c r="CM93" s="4">
        <f t="shared" si="175"/>
        <v>27.286995515695068</v>
      </c>
      <c r="CN93" s="4">
        <f t="shared" si="176"/>
        <v>11.468609865470851</v>
      </c>
      <c r="CO93" s="4">
        <f t="shared" si="177"/>
        <v>11.063829787234043</v>
      </c>
      <c r="CP93" s="4">
        <f t="shared" si="178"/>
        <v>9.095405532114393</v>
      </c>
      <c r="CQ93" s="4">
        <f t="shared" si="179"/>
        <v>13.388888888888889</v>
      </c>
      <c r="CR93" s="4">
        <f t="shared" si="180"/>
        <v>1.9622222222222221</v>
      </c>
      <c r="CS93" s="10">
        <f t="shared" si="181"/>
        <v>0.99995912498108508</v>
      </c>
      <c r="CT93" s="4"/>
      <c r="CU93" s="40">
        <f t="shared" si="182"/>
        <v>877.7358452596485</v>
      </c>
      <c r="CV93" s="40"/>
      <c r="CW93" s="4">
        <f t="shared" si="183"/>
        <v>46.9283725433489</v>
      </c>
      <c r="CX93" s="4">
        <f t="shared" si="184"/>
        <v>1.5462543543133711</v>
      </c>
      <c r="CY93" s="11">
        <f t="shared" si="185"/>
        <v>738.55616706256353</v>
      </c>
      <c r="CZ93" s="11">
        <f t="shared" si="186"/>
        <v>680.42801617139139</v>
      </c>
      <c r="DA93" s="216"/>
      <c r="DB93" s="216"/>
      <c r="DC93" s="216"/>
      <c r="DD93" s="100"/>
      <c r="DE93" s="100"/>
      <c r="DF93" s="32"/>
      <c r="DG93" s="32"/>
    </row>
    <row r="94" spans="1:111" s="2" customFormat="1" ht="14" customHeight="1">
      <c r="A94" s="3" t="s">
        <v>186</v>
      </c>
      <c r="B94" s="3" t="s">
        <v>94</v>
      </c>
      <c r="C94" s="3" t="s">
        <v>83</v>
      </c>
      <c r="D94" s="4">
        <v>68.81</v>
      </c>
      <c r="E94" s="10">
        <v>0.37</v>
      </c>
      <c r="F94" s="10">
        <v>15.52</v>
      </c>
      <c r="G94" s="10">
        <v>3.21</v>
      </c>
      <c r="H94" s="10">
        <v>2.5999999999999999E-2</v>
      </c>
      <c r="I94" s="10">
        <v>1.36</v>
      </c>
      <c r="J94" s="10">
        <v>2.67</v>
      </c>
      <c r="K94" s="10">
        <v>4.74</v>
      </c>
      <c r="L94" s="10">
        <v>1.48</v>
      </c>
      <c r="M94" s="10">
        <v>0.09</v>
      </c>
      <c r="N94" s="3"/>
      <c r="O94" s="3"/>
      <c r="P94" s="3"/>
      <c r="Q94" s="3"/>
      <c r="R94" s="10">
        <f t="shared" si="187"/>
        <v>70.01424501424502</v>
      </c>
      <c r="S94" s="10">
        <f t="shared" si="188"/>
        <v>0.37563451776649748</v>
      </c>
      <c r="T94" s="10">
        <f t="shared" si="189"/>
        <v>15.791615791615794</v>
      </c>
      <c r="U94" s="10">
        <f t="shared" si="190"/>
        <v>3.2661782661782666</v>
      </c>
      <c r="V94" s="10">
        <f t="shared" si="191"/>
        <v>2.645502645502646E-2</v>
      </c>
      <c r="W94" s="10">
        <f t="shared" si="192"/>
        <v>1.3838013838013841</v>
      </c>
      <c r="X94" s="10">
        <f t="shared" si="193"/>
        <v>2.7167277167277173</v>
      </c>
      <c r="Y94" s="10">
        <f t="shared" si="194"/>
        <v>4.8229548229548236</v>
      </c>
      <c r="Z94" s="10">
        <f t="shared" si="195"/>
        <v>1.5059015059015062</v>
      </c>
      <c r="AA94" s="10">
        <f t="shared" si="196"/>
        <v>9.1575091575091583E-2</v>
      </c>
      <c r="AB94" s="10">
        <f t="shared" si="197"/>
        <v>0</v>
      </c>
      <c r="AC94" s="10">
        <f t="shared" si="198"/>
        <v>0</v>
      </c>
      <c r="AD94" s="10">
        <f t="shared" si="199"/>
        <v>0</v>
      </c>
      <c r="AE94" s="10"/>
      <c r="AF94" s="3"/>
      <c r="AG94" s="3"/>
      <c r="AH94" s="4">
        <v>2.04</v>
      </c>
      <c r="AI94" s="4">
        <v>100.32</v>
      </c>
      <c r="AJ94" s="11">
        <f t="shared" si="168"/>
        <v>12286.199575371551</v>
      </c>
      <c r="AK94" s="11">
        <f t="shared" si="169"/>
        <v>2217.5354026068344</v>
      </c>
      <c r="AL94" s="11">
        <f t="shared" si="170"/>
        <v>392.74341270959559</v>
      </c>
      <c r="AM94" s="4">
        <v>306</v>
      </c>
      <c r="AN94" s="4">
        <v>10</v>
      </c>
      <c r="AO94" s="4"/>
      <c r="AP94" s="4"/>
      <c r="AQ94" s="4"/>
      <c r="AR94" s="4"/>
      <c r="AS94" s="11">
        <v>9</v>
      </c>
      <c r="AT94" s="11">
        <v>583</v>
      </c>
      <c r="AU94" s="11">
        <v>37</v>
      </c>
      <c r="AV94" s="4"/>
      <c r="AW94" s="11">
        <v>45.09</v>
      </c>
      <c r="AX94" s="11">
        <v>237.4</v>
      </c>
      <c r="AY94" s="4">
        <v>7.11</v>
      </c>
      <c r="AZ94" s="4">
        <v>0.94199999999999995</v>
      </c>
      <c r="BA94" s="4">
        <v>9.86</v>
      </c>
      <c r="BB94" s="4">
        <v>21.53</v>
      </c>
      <c r="BC94" s="4">
        <v>2.702</v>
      </c>
      <c r="BD94" s="4">
        <v>10.78</v>
      </c>
      <c r="BE94" s="4">
        <v>2.2599999999999998</v>
      </c>
      <c r="BF94" s="4">
        <v>0.76400000000000001</v>
      </c>
      <c r="BG94" s="4">
        <v>1.9610000000000001</v>
      </c>
      <c r="BH94" s="4">
        <v>0.26700000000000002</v>
      </c>
      <c r="BI94" s="4">
        <v>1.4119999999999999</v>
      </c>
      <c r="BJ94" s="4">
        <v>0.26600000000000001</v>
      </c>
      <c r="BK94" s="4">
        <v>0.754</v>
      </c>
      <c r="BL94" s="4">
        <v>0.113</v>
      </c>
      <c r="BM94" s="4">
        <v>0.75</v>
      </c>
      <c r="BN94" s="4">
        <v>0.113</v>
      </c>
      <c r="BO94" s="4"/>
      <c r="BP94" s="4">
        <v>2.08</v>
      </c>
      <c r="BQ94" s="4">
        <v>0.63300000000000001</v>
      </c>
      <c r="BR94" s="4">
        <v>5.0999999999999996</v>
      </c>
      <c r="BS94" s="4">
        <v>0.43</v>
      </c>
      <c r="BT94" s="11">
        <v>104.3</v>
      </c>
      <c r="BU94" s="4">
        <v>3</v>
      </c>
      <c r="BV94" s="3"/>
      <c r="BW94" s="3"/>
      <c r="BX94" s="3">
        <v>14</v>
      </c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11">
        <f t="shared" si="171"/>
        <v>40.458980346634981</v>
      </c>
      <c r="CJ94" s="10">
        <f t="shared" si="172"/>
        <v>0.82873434007842905</v>
      </c>
      <c r="CK94" s="10">
        <f t="shared" si="173"/>
        <v>0.31223628691983119</v>
      </c>
      <c r="CL94" s="4">
        <f t="shared" si="174"/>
        <v>6.2200000000000006</v>
      </c>
      <c r="CM94" s="4">
        <f t="shared" si="175"/>
        <v>33.38959212376934</v>
      </c>
      <c r="CN94" s="4">
        <f t="shared" si="176"/>
        <v>14.669479606188466</v>
      </c>
      <c r="CO94" s="4">
        <f t="shared" si="177"/>
        <v>11.86046511627907</v>
      </c>
      <c r="CP94" s="4">
        <f t="shared" si="178"/>
        <v>8.9308579465541484</v>
      </c>
      <c r="CQ94" s="4">
        <f t="shared" si="179"/>
        <v>13.146666666666667</v>
      </c>
      <c r="CR94" s="4">
        <f t="shared" si="180"/>
        <v>1.8826666666666665</v>
      </c>
      <c r="CS94" s="10">
        <f t="shared" si="181"/>
        <v>1.1062399627005943</v>
      </c>
      <c r="CT94" s="4"/>
      <c r="CU94" s="40">
        <f t="shared" si="182"/>
        <v>881.51075557158322</v>
      </c>
      <c r="CV94" s="40"/>
      <c r="CW94" s="4">
        <f t="shared" si="183"/>
        <v>47.490064058569978</v>
      </c>
      <c r="CX94" s="4">
        <f t="shared" si="184"/>
        <v>1.5388985413060947</v>
      </c>
      <c r="CY94" s="11">
        <f t="shared" si="185"/>
        <v>740.59260884484593</v>
      </c>
      <c r="CZ94" s="11">
        <f t="shared" si="186"/>
        <v>682.94400737155468</v>
      </c>
      <c r="DA94" s="216"/>
      <c r="DB94" s="216"/>
      <c r="DC94" s="216"/>
      <c r="DD94" s="100"/>
      <c r="DE94" s="100"/>
      <c r="DF94" s="32"/>
      <c r="DG94" s="32"/>
    </row>
    <row r="95" spans="1:111" s="2" customFormat="1" ht="14" customHeight="1">
      <c r="A95" s="3" t="s">
        <v>187</v>
      </c>
      <c r="B95" s="3" t="s">
        <v>94</v>
      </c>
      <c r="C95" s="3" t="s">
        <v>83</v>
      </c>
      <c r="D95" s="4">
        <v>67.89</v>
      </c>
      <c r="E95" s="10">
        <v>0.44</v>
      </c>
      <c r="F95" s="10">
        <v>15</v>
      </c>
      <c r="G95" s="10">
        <v>3.12</v>
      </c>
      <c r="H95" s="10">
        <v>2.5000000000000001E-2</v>
      </c>
      <c r="I95" s="10">
        <v>1.64</v>
      </c>
      <c r="J95" s="10">
        <v>2.2400000000000002</v>
      </c>
      <c r="K95" s="10">
        <v>5</v>
      </c>
      <c r="L95" s="10">
        <v>1.78</v>
      </c>
      <c r="M95" s="10">
        <v>0.11</v>
      </c>
      <c r="N95" s="3"/>
      <c r="O95" s="3"/>
      <c r="P95" s="3"/>
      <c r="Q95" s="3"/>
      <c r="R95" s="10">
        <f t="shared" si="187"/>
        <v>69.80976863753213</v>
      </c>
      <c r="S95" s="10">
        <f t="shared" si="188"/>
        <v>0.4467005076142132</v>
      </c>
      <c r="T95" s="10">
        <f t="shared" si="189"/>
        <v>15.424164524421593</v>
      </c>
      <c r="U95" s="10">
        <f t="shared" si="190"/>
        <v>3.2082262210796917</v>
      </c>
      <c r="V95" s="10">
        <f t="shared" si="191"/>
        <v>2.570694087403599E-2</v>
      </c>
      <c r="W95" s="10">
        <f t="shared" si="192"/>
        <v>1.6863753213367609</v>
      </c>
      <c r="X95" s="10">
        <f t="shared" si="193"/>
        <v>2.3033419023136248</v>
      </c>
      <c r="Y95" s="10">
        <f t="shared" si="194"/>
        <v>5.1413881748071981</v>
      </c>
      <c r="Z95" s="10">
        <f t="shared" si="195"/>
        <v>1.8303341902313626</v>
      </c>
      <c r="AA95" s="10">
        <f t="shared" si="196"/>
        <v>0.11311053984575835</v>
      </c>
      <c r="AB95" s="10">
        <f t="shared" si="197"/>
        <v>0</v>
      </c>
      <c r="AC95" s="10">
        <f t="shared" si="198"/>
        <v>0</v>
      </c>
      <c r="AD95" s="10">
        <f t="shared" si="199"/>
        <v>0</v>
      </c>
      <c r="AE95" s="10"/>
      <c r="AF95" s="3"/>
      <c r="AG95" s="3"/>
      <c r="AH95" s="4">
        <v>2.14</v>
      </c>
      <c r="AI95" s="4">
        <v>99.39</v>
      </c>
      <c r="AJ95" s="11">
        <f t="shared" si="168"/>
        <v>14776.64543524416</v>
      </c>
      <c r="AK95" s="11">
        <f t="shared" si="169"/>
        <v>2637.0691274243432</v>
      </c>
      <c r="AL95" s="11">
        <f t="shared" si="170"/>
        <v>480.01972664506127</v>
      </c>
      <c r="AM95" s="4"/>
      <c r="AN95" s="4"/>
      <c r="AO95" s="4"/>
      <c r="AP95" s="4"/>
      <c r="AQ95" s="4"/>
      <c r="AR95" s="4"/>
      <c r="AS95" s="11">
        <v>15</v>
      </c>
      <c r="AT95" s="11"/>
      <c r="AU95" s="11"/>
      <c r="AV95" s="4"/>
      <c r="AW95" s="11">
        <v>58.79</v>
      </c>
      <c r="AX95" s="11">
        <v>160.9</v>
      </c>
      <c r="AY95" s="4">
        <v>7.88</v>
      </c>
      <c r="AZ95" s="4">
        <v>0.97899999999999998</v>
      </c>
      <c r="BA95" s="4">
        <v>10.14</v>
      </c>
      <c r="BB95" s="4">
        <v>23.7</v>
      </c>
      <c r="BC95" s="4">
        <v>3.1339999999999999</v>
      </c>
      <c r="BD95" s="4">
        <v>13.13</v>
      </c>
      <c r="BE95" s="4">
        <v>2.65</v>
      </c>
      <c r="BF95" s="4">
        <v>0.79900000000000004</v>
      </c>
      <c r="BG95" s="4">
        <v>2.2719999999999998</v>
      </c>
      <c r="BH95" s="4">
        <v>0.3</v>
      </c>
      <c r="BI95" s="4">
        <v>1.5429999999999999</v>
      </c>
      <c r="BJ95" s="4">
        <v>0.29399999999999998</v>
      </c>
      <c r="BK95" s="4">
        <v>0.82199999999999995</v>
      </c>
      <c r="BL95" s="4">
        <v>0.113</v>
      </c>
      <c r="BM95" s="4">
        <v>0.93</v>
      </c>
      <c r="BN95" s="4">
        <v>0.113</v>
      </c>
      <c r="BO95" s="4"/>
      <c r="BP95" s="4">
        <v>1.51</v>
      </c>
      <c r="BQ95" s="4">
        <v>0.57399999999999995</v>
      </c>
      <c r="BR95" s="4">
        <v>4.4000000000000004</v>
      </c>
      <c r="BS95" s="4">
        <v>0.28999999999999998</v>
      </c>
      <c r="BT95" s="11">
        <v>99.6</v>
      </c>
      <c r="BU95" s="4">
        <v>2.7</v>
      </c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11">
        <f t="shared" si="171"/>
        <v>45.74215289059039</v>
      </c>
      <c r="CJ95" s="10">
        <f t="shared" si="172"/>
        <v>0.80262097421707534</v>
      </c>
      <c r="CK95" s="10">
        <f t="shared" si="173"/>
        <v>0.35599999999999998</v>
      </c>
      <c r="CL95" s="4">
        <f t="shared" si="174"/>
        <v>6.78</v>
      </c>
      <c r="CM95" s="4">
        <f t="shared" si="175"/>
        <v>20.418781725888326</v>
      </c>
      <c r="CN95" s="4">
        <f t="shared" si="176"/>
        <v>12.639593908629442</v>
      </c>
      <c r="CO95" s="4">
        <f t="shared" si="177"/>
        <v>15.17241379310345</v>
      </c>
      <c r="CP95" s="4">
        <f t="shared" si="178"/>
        <v>7.4068327208384384</v>
      </c>
      <c r="CQ95" s="4">
        <f t="shared" si="179"/>
        <v>10.903225806451612</v>
      </c>
      <c r="CR95" s="4">
        <f t="shared" si="180"/>
        <v>1.6591397849462364</v>
      </c>
      <c r="CS95" s="10">
        <f t="shared" si="181"/>
        <v>0.99258722163083335</v>
      </c>
      <c r="CT95" s="4"/>
      <c r="CU95" s="40">
        <f t="shared" si="182"/>
        <v>892.21605370766531</v>
      </c>
      <c r="CV95" s="40"/>
      <c r="CW95" s="4">
        <f t="shared" si="183"/>
        <v>47.011559076309268</v>
      </c>
      <c r="CX95" s="4">
        <f t="shared" si="184"/>
        <v>1.5653363096207504</v>
      </c>
      <c r="CY95" s="11">
        <f t="shared" si="185"/>
        <v>735.15839045460348</v>
      </c>
      <c r="CZ95" s="11">
        <f t="shared" si="186"/>
        <v>676.05074796657095</v>
      </c>
      <c r="DA95" s="216"/>
      <c r="DB95" s="216"/>
      <c r="DC95" s="216"/>
      <c r="DD95" s="100"/>
      <c r="DE95" s="100"/>
      <c r="DF95" s="32"/>
      <c r="DG95" s="32"/>
    </row>
    <row r="96" spans="1:111" s="2" customFormat="1" ht="14" customHeight="1">
      <c r="A96" s="3" t="s">
        <v>188</v>
      </c>
      <c r="B96" s="3" t="s">
        <v>94</v>
      </c>
      <c r="C96" s="3" t="s">
        <v>83</v>
      </c>
      <c r="D96" s="4">
        <v>77.540000000000006</v>
      </c>
      <c r="E96" s="10">
        <v>0.28999999999999998</v>
      </c>
      <c r="F96" s="10">
        <v>10.130000000000001</v>
      </c>
      <c r="G96" s="10">
        <v>3.16</v>
      </c>
      <c r="H96" s="10">
        <v>1.7999999999999999E-2</v>
      </c>
      <c r="I96" s="10">
        <v>1.25</v>
      </c>
      <c r="J96" s="10">
        <v>1.82</v>
      </c>
      <c r="K96" s="10">
        <v>3.08</v>
      </c>
      <c r="L96" s="10">
        <v>1.08</v>
      </c>
      <c r="M96" s="10">
        <v>0.09</v>
      </c>
      <c r="N96" s="3"/>
      <c r="O96" s="3"/>
      <c r="P96" s="3"/>
      <c r="Q96" s="3"/>
      <c r="R96" s="10">
        <f t="shared" si="187"/>
        <v>78.752793012390825</v>
      </c>
      <c r="S96" s="10">
        <f t="shared" si="188"/>
        <v>0.29441624365482227</v>
      </c>
      <c r="T96" s="10">
        <f t="shared" si="189"/>
        <v>10.288442006906358</v>
      </c>
      <c r="U96" s="10">
        <f t="shared" si="190"/>
        <v>3.2094251472679258</v>
      </c>
      <c r="V96" s="10">
        <f t="shared" si="191"/>
        <v>1.8281535648994512E-2</v>
      </c>
      <c r="W96" s="10">
        <f t="shared" si="192"/>
        <v>1.2695510867357302</v>
      </c>
      <c r="X96" s="10">
        <f t="shared" si="193"/>
        <v>1.8484663822872232</v>
      </c>
      <c r="Y96" s="10">
        <f t="shared" si="194"/>
        <v>3.1281738777168391</v>
      </c>
      <c r="Z96" s="10">
        <f t="shared" si="195"/>
        <v>1.0968921389396709</v>
      </c>
      <c r="AA96" s="10">
        <f t="shared" si="196"/>
        <v>9.1407678244972576E-2</v>
      </c>
      <c r="AB96" s="10">
        <f t="shared" si="197"/>
        <v>0</v>
      </c>
      <c r="AC96" s="10">
        <f t="shared" si="198"/>
        <v>0</v>
      </c>
      <c r="AD96" s="10">
        <f t="shared" si="199"/>
        <v>0</v>
      </c>
      <c r="AE96" s="10"/>
      <c r="AF96" s="3"/>
      <c r="AG96" s="3"/>
      <c r="AH96" s="4">
        <v>2.19</v>
      </c>
      <c r="AI96" s="4">
        <v>100.65</v>
      </c>
      <c r="AJ96" s="11">
        <f t="shared" si="168"/>
        <v>8965.6050955414012</v>
      </c>
      <c r="AK96" s="11">
        <f t="shared" si="169"/>
        <v>1738.0682885296806</v>
      </c>
      <c r="AL96" s="11">
        <f t="shared" si="170"/>
        <v>392.74341270959559</v>
      </c>
      <c r="AM96" s="4">
        <v>131</v>
      </c>
      <c r="AN96" s="4">
        <v>10</v>
      </c>
      <c r="AO96" s="4"/>
      <c r="AP96" s="4"/>
      <c r="AQ96" s="4"/>
      <c r="AR96" s="4"/>
      <c r="AS96" s="11">
        <v>17</v>
      </c>
      <c r="AT96" s="11">
        <v>1017</v>
      </c>
      <c r="AU96" s="11">
        <v>30</v>
      </c>
      <c r="AV96" s="4"/>
      <c r="AW96" s="11">
        <v>36.36</v>
      </c>
      <c r="AX96" s="11">
        <v>129.80000000000001</v>
      </c>
      <c r="AY96" s="4">
        <v>4.38</v>
      </c>
      <c r="AZ96" s="4">
        <v>0.60199999999999998</v>
      </c>
      <c r="BA96" s="4">
        <v>4.76</v>
      </c>
      <c r="BB96" s="4">
        <v>10.94</v>
      </c>
      <c r="BC96" s="4">
        <v>1.462</v>
      </c>
      <c r="BD96" s="4">
        <v>6.05</v>
      </c>
      <c r="BE96" s="4">
        <v>1.29</v>
      </c>
      <c r="BF96" s="4">
        <v>0.47499999999999998</v>
      </c>
      <c r="BG96" s="4">
        <v>1.1240000000000001</v>
      </c>
      <c r="BH96" s="4">
        <v>0.155</v>
      </c>
      <c r="BI96" s="4">
        <v>0.85599999999999998</v>
      </c>
      <c r="BJ96" s="4">
        <v>0.16300000000000001</v>
      </c>
      <c r="BK96" s="4">
        <v>0.47699999999999998</v>
      </c>
      <c r="BL96" s="4">
        <v>6.8000000000000005E-2</v>
      </c>
      <c r="BM96" s="4">
        <v>0.44</v>
      </c>
      <c r="BN96" s="4">
        <v>6.7000000000000004E-2</v>
      </c>
      <c r="BO96" s="4"/>
      <c r="BP96" s="4">
        <v>0.9</v>
      </c>
      <c r="BQ96" s="4">
        <v>0.39100000000000001</v>
      </c>
      <c r="BR96" s="4">
        <v>2.9</v>
      </c>
      <c r="BS96" s="4">
        <v>0.19</v>
      </c>
      <c r="BT96" s="11">
        <v>57.7</v>
      </c>
      <c r="BU96" s="4">
        <v>1.6</v>
      </c>
      <c r="BV96" s="3"/>
      <c r="BW96" s="3"/>
      <c r="BX96" s="3">
        <v>11</v>
      </c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11">
        <f t="shared" si="171"/>
        <v>38.816809724841171</v>
      </c>
      <c r="CJ96" s="10">
        <f t="shared" si="172"/>
        <v>0.80779753936288956</v>
      </c>
      <c r="CK96" s="10">
        <f t="shared" si="173"/>
        <v>0.35064935064935066</v>
      </c>
      <c r="CL96" s="4">
        <f t="shared" si="174"/>
        <v>4.16</v>
      </c>
      <c r="CM96" s="4">
        <f t="shared" si="175"/>
        <v>29.634703196347036</v>
      </c>
      <c r="CN96" s="4">
        <f t="shared" si="176"/>
        <v>13.173515981735161</v>
      </c>
      <c r="CO96" s="4">
        <f t="shared" si="177"/>
        <v>15.263157894736841</v>
      </c>
      <c r="CP96" s="4">
        <f t="shared" si="178"/>
        <v>7.3490602224779451</v>
      </c>
      <c r="CQ96" s="4">
        <f t="shared" si="179"/>
        <v>10.818181818181818</v>
      </c>
      <c r="CR96" s="4">
        <f t="shared" si="180"/>
        <v>1.9454545454545453</v>
      </c>
      <c r="CS96" s="10">
        <f t="shared" si="181"/>
        <v>1.2024432808927854</v>
      </c>
      <c r="CT96" s="4"/>
      <c r="CU96" s="40">
        <f t="shared" si="182"/>
        <v>964.83911100182115</v>
      </c>
      <c r="CV96" s="40"/>
      <c r="CW96" s="4">
        <f t="shared" si="183"/>
        <v>47.572378463340726</v>
      </c>
      <c r="CX96" s="4">
        <f t="shared" si="184"/>
        <v>1.4157008023593709</v>
      </c>
      <c r="CY96" s="11">
        <f t="shared" si="185"/>
        <v>703.20408797506343</v>
      </c>
      <c r="CZ96" s="11">
        <f t="shared" si="186"/>
        <v>643.98427243100355</v>
      </c>
      <c r="DA96" s="216"/>
      <c r="DB96" s="216"/>
      <c r="DC96" s="216"/>
      <c r="DD96" s="100"/>
      <c r="DE96" s="100"/>
      <c r="DF96" s="32"/>
      <c r="DG96" s="32"/>
    </row>
    <row r="97" spans="1:104">
      <c r="CU97" s="41"/>
      <c r="CV97" s="41"/>
      <c r="CW97" s="41"/>
      <c r="CX97" s="41"/>
      <c r="CY97" s="41"/>
      <c r="CZ97" s="41"/>
    </row>
    <row r="98" spans="1:104">
      <c r="CU98" s="41"/>
      <c r="CV98" s="41"/>
      <c r="CW98" s="41"/>
      <c r="CX98" s="41"/>
      <c r="CY98" s="41"/>
      <c r="CZ98" s="41"/>
    </row>
    <row r="99" spans="1:104" s="50" customFormat="1" ht="14">
      <c r="A99" s="34" t="s">
        <v>196</v>
      </c>
      <c r="CU99" s="51"/>
      <c r="CV99" s="51"/>
      <c r="CW99" s="51"/>
      <c r="CX99" s="51"/>
      <c r="CY99" s="51"/>
      <c r="CZ99" s="51"/>
    </row>
    <row r="100" spans="1:104" s="50" customFormat="1" ht="14">
      <c r="A100" s="52" t="s">
        <v>195</v>
      </c>
      <c r="CU100" s="53"/>
      <c r="CV100" s="53"/>
      <c r="CY100" s="53"/>
      <c r="CZ100" s="53"/>
    </row>
    <row r="101" spans="1:104" s="50" customFormat="1" ht="14">
      <c r="A101" s="52" t="s">
        <v>197</v>
      </c>
      <c r="CU101" s="53"/>
      <c r="CV101" s="53"/>
      <c r="CY101" s="53"/>
      <c r="CZ101" s="53"/>
    </row>
    <row r="102" spans="1:104" s="50" customFormat="1" ht="14">
      <c r="A102" s="52" t="s">
        <v>198</v>
      </c>
      <c r="CU102" s="53"/>
      <c r="CV102" s="53"/>
      <c r="CY102" s="53"/>
      <c r="CZ102" s="53"/>
    </row>
  </sheetData>
  <autoFilter ref="AH2:AH96" xr:uid="{B5D5FBF8-3F19-BF46-9265-4D053AD90FE7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2338E-A3D3-F742-BCC3-02E62A0840A4}">
  <sheetPr codeName="Sheet2"/>
  <dimension ref="A1:DM97"/>
  <sheetViews>
    <sheetView zoomScaleNormal="100" workbookViewId="0">
      <pane xSplit="3" ySplit="2" topLeftCell="AL32" activePane="bottomRight" state="frozen"/>
      <selection pane="topRight" activeCell="D1" sqref="D1"/>
      <selection pane="bottomLeft" activeCell="A3" sqref="A3"/>
      <selection pane="bottomRight" activeCell="A61" sqref="A61:XFD65"/>
    </sheetView>
  </sheetViews>
  <sheetFormatPr baseColWidth="10" defaultRowHeight="15"/>
  <cols>
    <col min="1" max="1" width="16.33203125" customWidth="1"/>
    <col min="3" max="3" width="20.1640625" customWidth="1"/>
    <col min="4" max="16" width="8.1640625" customWidth="1"/>
    <col min="17" max="17" width="9.6640625" customWidth="1"/>
    <col min="18" max="37" width="8.1640625" customWidth="1"/>
    <col min="38" max="38" width="9.1640625" bestFit="1" customWidth="1"/>
    <col min="39" max="40" width="8.1640625" customWidth="1"/>
    <col min="41" max="41" width="9.1640625" bestFit="1" customWidth="1"/>
    <col min="42" max="43" width="8.1640625" customWidth="1"/>
    <col min="44" max="44" width="7.5" customWidth="1"/>
    <col min="45" max="45" width="9.1640625" bestFit="1" customWidth="1"/>
    <col min="46" max="46" width="10.6640625" bestFit="1" customWidth="1"/>
    <col min="47" max="86" width="8.1640625" customWidth="1"/>
    <col min="87" max="87" width="9" bestFit="1" customWidth="1"/>
    <col min="88" max="88" width="9.5" bestFit="1" customWidth="1"/>
    <col min="89" max="96" width="8.1640625" customWidth="1"/>
    <col min="97" max="97" width="8.1640625" style="1" customWidth="1"/>
    <col min="98" max="98" width="10" bestFit="1" customWidth="1"/>
    <col min="99" max="99" width="8.1640625" customWidth="1"/>
    <col min="100" max="101" width="8.1640625" style="1" customWidth="1"/>
  </cols>
  <sheetData>
    <row r="1" spans="1:101" s="27" customFormat="1">
      <c r="A1" s="22" t="s">
        <v>1346</v>
      </c>
      <c r="B1" s="25"/>
      <c r="C1" s="2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2" t="s">
        <v>209</v>
      </c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5"/>
      <c r="CT1" s="26"/>
      <c r="CU1" s="26"/>
      <c r="CV1" s="25"/>
      <c r="CW1" s="25"/>
    </row>
    <row r="2" spans="1:101" ht="14" customHeight="1">
      <c r="A2" s="7" t="s">
        <v>170</v>
      </c>
      <c r="B2" s="7" t="s">
        <v>91</v>
      </c>
      <c r="C2" s="7" t="s">
        <v>0</v>
      </c>
      <c r="D2" s="7" t="s">
        <v>111</v>
      </c>
      <c r="E2" s="7" t="s">
        <v>112</v>
      </c>
      <c r="F2" s="7" t="s">
        <v>113</v>
      </c>
      <c r="G2" s="7" t="s">
        <v>114</v>
      </c>
      <c r="H2" s="7" t="s">
        <v>1</v>
      </c>
      <c r="I2" s="7" t="s">
        <v>2</v>
      </c>
      <c r="J2" s="7" t="s">
        <v>3</v>
      </c>
      <c r="K2" s="7" t="s">
        <v>115</v>
      </c>
      <c r="L2" s="7" t="s">
        <v>116</v>
      </c>
      <c r="M2" s="7" t="s">
        <v>117</v>
      </c>
      <c r="N2" s="7" t="s">
        <v>69</v>
      </c>
      <c r="O2" s="7" t="s">
        <v>118</v>
      </c>
      <c r="P2" s="7" t="s">
        <v>70</v>
      </c>
      <c r="Q2" s="7" t="s">
        <v>111</v>
      </c>
      <c r="R2" s="7" t="s">
        <v>112</v>
      </c>
      <c r="S2" s="7" t="s">
        <v>113</v>
      </c>
      <c r="T2" s="7" t="s">
        <v>114</v>
      </c>
      <c r="U2" s="7" t="s">
        <v>1</v>
      </c>
      <c r="V2" s="7" t="s">
        <v>2</v>
      </c>
      <c r="W2" s="7" t="s">
        <v>3</v>
      </c>
      <c r="X2" s="7" t="s">
        <v>115</v>
      </c>
      <c r="Y2" s="7" t="s">
        <v>116</v>
      </c>
      <c r="Z2" s="7" t="s">
        <v>117</v>
      </c>
      <c r="AA2" s="7" t="s">
        <v>69</v>
      </c>
      <c r="AB2" s="7" t="s">
        <v>118</v>
      </c>
      <c r="AC2" s="7" t="s">
        <v>70</v>
      </c>
      <c r="AD2" s="7" t="s">
        <v>71</v>
      </c>
      <c r="AE2" s="7" t="s">
        <v>72</v>
      </c>
      <c r="AF2" s="7" t="s">
        <v>4</v>
      </c>
      <c r="AG2" s="7" t="s">
        <v>5</v>
      </c>
      <c r="AH2" s="7" t="s">
        <v>73</v>
      </c>
      <c r="AI2" s="7" t="s">
        <v>74</v>
      </c>
      <c r="AJ2" s="7" t="s">
        <v>75</v>
      </c>
      <c r="AK2" s="7" t="s">
        <v>6</v>
      </c>
      <c r="AL2" s="7" t="s">
        <v>10</v>
      </c>
      <c r="AM2" s="7" t="s">
        <v>23</v>
      </c>
      <c r="AN2" s="7" t="s">
        <v>24</v>
      </c>
      <c r="AO2" s="7" t="s">
        <v>20</v>
      </c>
      <c r="AP2" s="7" t="s">
        <v>22</v>
      </c>
      <c r="AQ2" s="7" t="s">
        <v>21</v>
      </c>
      <c r="AR2" s="7" t="s">
        <v>25</v>
      </c>
      <c r="AS2" s="7" t="s">
        <v>27</v>
      </c>
      <c r="AT2" s="7" t="s">
        <v>11</v>
      </c>
      <c r="AU2" s="7" t="s">
        <v>7</v>
      </c>
      <c r="AV2" s="7" t="s">
        <v>8</v>
      </c>
      <c r="AW2" s="7" t="s">
        <v>17</v>
      </c>
      <c r="AX2" s="7" t="s">
        <v>9</v>
      </c>
      <c r="AY2" s="7" t="s">
        <v>39</v>
      </c>
      <c r="AZ2" s="7" t="s">
        <v>40</v>
      </c>
      <c r="BA2" s="7" t="s">
        <v>41</v>
      </c>
      <c r="BB2" s="7" t="s">
        <v>42</v>
      </c>
      <c r="BC2" s="7" t="s">
        <v>43</v>
      </c>
      <c r="BD2" s="7" t="s">
        <v>44</v>
      </c>
      <c r="BE2" s="7" t="s">
        <v>45</v>
      </c>
      <c r="BF2" s="7" t="s">
        <v>46</v>
      </c>
      <c r="BG2" s="7" t="s">
        <v>47</v>
      </c>
      <c r="BH2" s="7" t="s">
        <v>48</v>
      </c>
      <c r="BI2" s="7" t="s">
        <v>49</v>
      </c>
      <c r="BJ2" s="7" t="s">
        <v>50</v>
      </c>
      <c r="BK2" s="7" t="s">
        <v>51</v>
      </c>
      <c r="BL2" s="7" t="s">
        <v>52</v>
      </c>
      <c r="BM2" s="7" t="s">
        <v>26</v>
      </c>
      <c r="BN2" s="7" t="s">
        <v>18</v>
      </c>
      <c r="BO2" s="7" t="s">
        <v>19</v>
      </c>
      <c r="BP2" s="7" t="s">
        <v>14</v>
      </c>
      <c r="BQ2" s="7" t="s">
        <v>13</v>
      </c>
      <c r="BR2" s="7" t="s">
        <v>16</v>
      </c>
      <c r="BS2" s="7" t="s">
        <v>15</v>
      </c>
      <c r="BT2" s="7" t="s">
        <v>36</v>
      </c>
      <c r="BU2" s="7" t="s">
        <v>30</v>
      </c>
      <c r="BV2" s="7" t="s">
        <v>31</v>
      </c>
      <c r="BW2" s="7" t="s">
        <v>32</v>
      </c>
      <c r="BX2" s="7" t="s">
        <v>34</v>
      </c>
      <c r="BY2" s="7" t="s">
        <v>28</v>
      </c>
      <c r="BZ2" s="7" t="s">
        <v>33</v>
      </c>
      <c r="CA2" s="7" t="s">
        <v>29</v>
      </c>
      <c r="CB2" s="7" t="s">
        <v>76</v>
      </c>
      <c r="CC2" s="7" t="s">
        <v>35</v>
      </c>
      <c r="CD2" s="7" t="s">
        <v>37</v>
      </c>
      <c r="CE2" s="7" t="s">
        <v>38</v>
      </c>
      <c r="CF2" s="7" t="s">
        <v>12</v>
      </c>
      <c r="CG2" s="7" t="s">
        <v>123</v>
      </c>
      <c r="CH2" s="7" t="s">
        <v>53</v>
      </c>
      <c r="CI2" s="7" t="s">
        <v>119</v>
      </c>
      <c r="CJ2" s="7" t="s">
        <v>120</v>
      </c>
      <c r="CK2" s="7" t="s">
        <v>54</v>
      </c>
      <c r="CL2" s="7" t="s">
        <v>86</v>
      </c>
      <c r="CM2" s="7" t="s">
        <v>125</v>
      </c>
      <c r="CN2" s="7" t="s">
        <v>121</v>
      </c>
      <c r="CO2" s="7" t="s">
        <v>77</v>
      </c>
      <c r="CP2" s="7" t="s">
        <v>85</v>
      </c>
      <c r="CQ2" s="7" t="s">
        <v>78</v>
      </c>
      <c r="CR2" s="7" t="s">
        <v>55</v>
      </c>
      <c r="CS2" s="8" t="s">
        <v>122</v>
      </c>
      <c r="CT2" s="8" t="s">
        <v>79</v>
      </c>
      <c r="CU2" s="8" t="s">
        <v>80</v>
      </c>
      <c r="CV2" s="8" t="s">
        <v>81</v>
      </c>
      <c r="CW2" s="8" t="s">
        <v>82</v>
      </c>
    </row>
    <row r="3" spans="1:101" ht="14" customHeight="1">
      <c r="A3" s="3" t="s">
        <v>97</v>
      </c>
      <c r="B3" s="3" t="s">
        <v>92</v>
      </c>
      <c r="C3" s="3" t="s">
        <v>89</v>
      </c>
      <c r="D3" s="4">
        <v>76.400000000000006</v>
      </c>
      <c r="E3" s="9">
        <v>0.34</v>
      </c>
      <c r="F3" s="4">
        <v>12.85</v>
      </c>
      <c r="G3" s="4">
        <v>2.06</v>
      </c>
      <c r="H3" s="9">
        <v>0.02</v>
      </c>
      <c r="I3" s="9">
        <v>0.59</v>
      </c>
      <c r="J3" s="4">
        <v>1.98</v>
      </c>
      <c r="K3" s="10">
        <v>5.0999999999999996</v>
      </c>
      <c r="L3" s="10">
        <v>0.54</v>
      </c>
      <c r="M3" s="9">
        <v>0.05</v>
      </c>
      <c r="N3" s="9">
        <v>0.02</v>
      </c>
      <c r="O3" s="35">
        <v>5.0000000000000001E-3</v>
      </c>
      <c r="P3" s="10">
        <v>0.02</v>
      </c>
      <c r="Q3" s="4">
        <f t="shared" ref="Q3:Q17" si="0">100*D3/(AG3-AF3)</f>
        <v>76.415283056611344</v>
      </c>
      <c r="R3" s="10">
        <f t="shared" ref="R3:R17" si="1">100*E3/(AG$3-AF$3)</f>
        <v>0.3400680136027206</v>
      </c>
      <c r="S3" s="4">
        <f t="shared" ref="S3:S17" si="2">100*F3/(AG3-AF3)</f>
        <v>12.852570514102823</v>
      </c>
      <c r="T3" s="4">
        <f t="shared" ref="T3:T17" si="3">100*G3/(AG3-AF3)</f>
        <v>2.0604120824164833</v>
      </c>
      <c r="U3" s="10">
        <f t="shared" ref="U3:U17" si="4">100*H3/(AG3-AF3)</f>
        <v>2.0004000800160033E-2</v>
      </c>
      <c r="V3" s="10">
        <f t="shared" ref="V3:V17" si="5">100*I3/(AG3-AF3)</f>
        <v>0.59011802360472099</v>
      </c>
      <c r="W3" s="10">
        <f t="shared" ref="W3:W17" si="6">100*J3/(AG3-AF3)</f>
        <v>1.9803960792158433</v>
      </c>
      <c r="X3" s="10">
        <f t="shared" ref="X3:X17" si="7">100*K3/(AG3-AF3)</f>
        <v>5.1010202040408084</v>
      </c>
      <c r="Y3" s="10">
        <f t="shared" ref="Y3:Y17" si="8">100*L3/(AG3-AF3)</f>
        <v>0.54010802160432092</v>
      </c>
      <c r="Z3" s="10">
        <f t="shared" ref="Z3:Z17" si="9">100*M3/(AG3-AF3)</f>
        <v>5.0010002000400088E-2</v>
      </c>
      <c r="AA3" s="10">
        <f t="shared" ref="AA3:AA17" si="10">100*N3/(AG3-AF3)</f>
        <v>2.0004000800160033E-2</v>
      </c>
      <c r="AB3" s="10">
        <f t="shared" ref="AB3:AB17" si="11">100*O3/(AG3-AF3)</f>
        <v>5.0010002000400082E-3</v>
      </c>
      <c r="AC3" s="10">
        <f t="shared" ref="AC3:AC17" si="12">100*P3/(AG3-AF3)</f>
        <v>2.0004000800160033E-2</v>
      </c>
      <c r="AD3" s="10">
        <v>0.01</v>
      </c>
      <c r="AE3" s="9">
        <v>0.01</v>
      </c>
      <c r="AF3" s="4">
        <v>0.98</v>
      </c>
      <c r="AG3" s="4">
        <v>100.96</v>
      </c>
      <c r="AH3" s="11">
        <v>4482.8025477707006</v>
      </c>
      <c r="AI3" s="11">
        <v>12346.2781874867</v>
      </c>
      <c r="AJ3" s="11">
        <v>218.1907848386642</v>
      </c>
      <c r="AK3" s="11">
        <v>174</v>
      </c>
      <c r="AL3" s="9">
        <v>10</v>
      </c>
      <c r="AM3" s="9">
        <v>5</v>
      </c>
      <c r="AN3" s="9">
        <v>17</v>
      </c>
      <c r="AO3" s="9">
        <v>40</v>
      </c>
      <c r="AP3" s="9">
        <v>1</v>
      </c>
      <c r="AQ3" s="9">
        <v>4</v>
      </c>
      <c r="AR3" s="9">
        <v>9</v>
      </c>
      <c r="AS3" s="9">
        <v>15</v>
      </c>
      <c r="AT3" s="4">
        <v>18.100000000000001</v>
      </c>
      <c r="AU3" s="9">
        <v>15.2</v>
      </c>
      <c r="AV3" s="9">
        <v>167</v>
      </c>
      <c r="AW3" s="9">
        <v>37.700000000000003</v>
      </c>
      <c r="AX3" s="9">
        <v>0.16</v>
      </c>
      <c r="AY3" s="4">
        <v>13</v>
      </c>
      <c r="AZ3" s="9">
        <v>31.3</v>
      </c>
      <c r="BA3" s="9">
        <v>4.33</v>
      </c>
      <c r="BB3" s="9">
        <v>17.600000000000001</v>
      </c>
      <c r="BC3" s="9">
        <v>4.78</v>
      </c>
      <c r="BD3" s="9">
        <v>0.96</v>
      </c>
      <c r="BE3" s="9">
        <v>6.35</v>
      </c>
      <c r="BF3" s="9">
        <v>1.05</v>
      </c>
      <c r="BG3" s="9">
        <v>6.18</v>
      </c>
      <c r="BH3" s="9">
        <v>1.38</v>
      </c>
      <c r="BI3" s="9">
        <v>4.17</v>
      </c>
      <c r="BJ3" s="9">
        <v>0.62</v>
      </c>
      <c r="BK3" s="9">
        <v>3.88</v>
      </c>
      <c r="BL3" s="9">
        <v>0.59</v>
      </c>
      <c r="BM3" s="9" t="s">
        <v>84</v>
      </c>
      <c r="BN3" s="9">
        <v>8.69</v>
      </c>
      <c r="BO3" s="9">
        <v>1.33</v>
      </c>
      <c r="BP3" s="4">
        <v>10</v>
      </c>
      <c r="BQ3" s="10">
        <v>0.9</v>
      </c>
      <c r="BR3" s="9">
        <v>346</v>
      </c>
      <c r="BS3" s="4">
        <v>9.6</v>
      </c>
      <c r="BT3" s="9" t="s">
        <v>58</v>
      </c>
      <c r="BU3" s="9">
        <v>2</v>
      </c>
      <c r="BV3" s="9">
        <v>1</v>
      </c>
      <c r="BW3" s="9" t="s">
        <v>59</v>
      </c>
      <c r="BX3" s="9">
        <v>2.2000000000000002</v>
      </c>
      <c r="BY3" s="9">
        <v>0.04</v>
      </c>
      <c r="BZ3" s="9" t="s">
        <v>60</v>
      </c>
      <c r="CA3" s="12">
        <v>1.7999999999999999E-2</v>
      </c>
      <c r="CB3" s="9" t="s">
        <v>61</v>
      </c>
      <c r="CC3" s="9">
        <v>0.06</v>
      </c>
      <c r="CD3" s="9" t="s">
        <v>62</v>
      </c>
      <c r="CE3" s="9">
        <v>0.01</v>
      </c>
      <c r="CF3" s="9" t="s">
        <v>64</v>
      </c>
      <c r="CG3" s="11">
        <v>31.476633250442397</v>
      </c>
      <c r="CH3" s="10">
        <v>0.77782357512736555</v>
      </c>
      <c r="CI3" s="10">
        <f t="shared" ref="CI3:CI17" si="13">L3/K3</f>
        <v>0.10588235294117648</v>
      </c>
      <c r="CJ3" s="4">
        <f t="shared" ref="CJ3:CJ17" si="14">K3+L3</f>
        <v>5.64</v>
      </c>
      <c r="CK3" s="4">
        <f t="shared" ref="CK3:CK17" si="15">AV3/AW3</f>
        <v>4.4297082228116711</v>
      </c>
      <c r="CL3" s="4">
        <f t="shared" ref="CL3:CL17" si="16">BR3/AW3</f>
        <v>9.1777188328912462</v>
      </c>
      <c r="CM3" s="4">
        <f t="shared" ref="CM3:CM17" si="17">BP3/BQ3</f>
        <v>11.111111111111111</v>
      </c>
      <c r="CN3" s="4">
        <f t="shared" ref="CN3:CN17" si="18">(AY3/0.237)/(BK3/0.161)</f>
        <v>2.2760885640958723</v>
      </c>
      <c r="CO3" s="4">
        <f t="shared" ref="CO3:CO17" si="19">AY3/BK3</f>
        <v>3.3505154639175259</v>
      </c>
      <c r="CP3" s="4">
        <f t="shared" ref="CP3:CP17" si="20">BG3/BK3</f>
        <v>1.5927835051546391</v>
      </c>
      <c r="CQ3" s="10">
        <f t="shared" ref="CQ3:CQ17" si="21">(BD3/0.0563)/(((BC3/0.148)*(BE3/0.199))^(1/2))</f>
        <v>0.53115273629560733</v>
      </c>
      <c r="CR3" s="4">
        <v>3.4</v>
      </c>
      <c r="CS3" s="11">
        <v>899.69880120027631</v>
      </c>
      <c r="CT3" s="4">
        <v>50.094747351065415</v>
      </c>
      <c r="CU3" s="4">
        <v>1.4565363779106468</v>
      </c>
      <c r="CV3" s="11">
        <v>852.90256271869168</v>
      </c>
      <c r="CW3" s="11">
        <v>816.37062971704734</v>
      </c>
    </row>
    <row r="4" spans="1:101" ht="14" customHeight="1">
      <c r="A4" s="3" t="s">
        <v>98</v>
      </c>
      <c r="B4" s="3" t="s">
        <v>93</v>
      </c>
      <c r="C4" s="3" t="s">
        <v>88</v>
      </c>
      <c r="D4" s="4">
        <v>76.099999999999994</v>
      </c>
      <c r="E4" s="9">
        <v>0.31</v>
      </c>
      <c r="F4" s="4">
        <v>11.75</v>
      </c>
      <c r="G4" s="4">
        <v>4.2300000000000004</v>
      </c>
      <c r="H4" s="9">
        <v>0.06</v>
      </c>
      <c r="I4" s="9">
        <v>0.49</v>
      </c>
      <c r="J4" s="4">
        <v>2.31</v>
      </c>
      <c r="K4" s="10">
        <v>4.3</v>
      </c>
      <c r="L4" s="10">
        <v>0.6</v>
      </c>
      <c r="M4" s="9">
        <v>7.0000000000000007E-2</v>
      </c>
      <c r="N4" s="9">
        <v>0.02</v>
      </c>
      <c r="O4" s="35">
        <v>2E-3</v>
      </c>
      <c r="P4" s="10">
        <v>0.01</v>
      </c>
      <c r="Q4" s="4">
        <f t="shared" si="0"/>
        <v>75.910224438902731</v>
      </c>
      <c r="R4" s="10">
        <f t="shared" si="1"/>
        <v>0.31006201240248055</v>
      </c>
      <c r="S4" s="4">
        <f t="shared" si="2"/>
        <v>11.720698254364089</v>
      </c>
      <c r="T4" s="4">
        <f t="shared" si="3"/>
        <v>4.2194513715710729</v>
      </c>
      <c r="U4" s="10">
        <f t="shared" si="4"/>
        <v>5.9850374064837904E-2</v>
      </c>
      <c r="V4" s="10">
        <f t="shared" si="5"/>
        <v>0.48877805486284287</v>
      </c>
      <c r="W4" s="10">
        <f t="shared" si="6"/>
        <v>2.3042394014962593</v>
      </c>
      <c r="X4" s="10">
        <f t="shared" si="7"/>
        <v>4.2892768079800501</v>
      </c>
      <c r="Y4" s="10">
        <f t="shared" si="8"/>
        <v>0.59850374064837908</v>
      </c>
      <c r="Z4" s="10">
        <f t="shared" si="9"/>
        <v>6.9825436408977565E-2</v>
      </c>
      <c r="AA4" s="10">
        <f t="shared" si="10"/>
        <v>1.9950124688279301E-2</v>
      </c>
      <c r="AB4" s="10">
        <f t="shared" si="11"/>
        <v>1.9950124688279305E-3</v>
      </c>
      <c r="AC4" s="10">
        <f t="shared" si="12"/>
        <v>9.9750623441396506E-3</v>
      </c>
      <c r="AD4" s="10">
        <v>0.01</v>
      </c>
      <c r="AE4" s="9">
        <v>0.01</v>
      </c>
      <c r="AF4" s="4">
        <v>0.98</v>
      </c>
      <c r="AG4" s="4">
        <v>101.23</v>
      </c>
      <c r="AH4" s="11">
        <f t="shared" ref="AH4:AH17" si="22">L4*39.1*2/(39.1*2+16)*10000</f>
        <v>4980.8917197452229</v>
      </c>
      <c r="AI4" s="11">
        <f t="shared" ref="AI4:AI17" si="23">E4*47.867/(47.867+32)*10000</f>
        <v>1857.9350670489689</v>
      </c>
      <c r="AJ4" s="11">
        <f t="shared" ref="AJ4:AJ17" si="24">M4*2*30.97/(2*30.97+16*5)*10000</f>
        <v>305.46709877412991</v>
      </c>
      <c r="AK4" s="11">
        <v>201</v>
      </c>
      <c r="AL4" s="9">
        <v>10</v>
      </c>
      <c r="AM4" s="9">
        <v>9</v>
      </c>
      <c r="AN4" s="9">
        <v>19</v>
      </c>
      <c r="AO4" s="9">
        <v>20</v>
      </c>
      <c r="AP4" s="9">
        <v>2</v>
      </c>
      <c r="AQ4" s="9">
        <v>1</v>
      </c>
      <c r="AR4" s="9">
        <v>10</v>
      </c>
      <c r="AS4" s="9">
        <v>40</v>
      </c>
      <c r="AT4" s="4">
        <v>17.600000000000001</v>
      </c>
      <c r="AU4" s="9">
        <v>19.2</v>
      </c>
      <c r="AV4" s="9">
        <v>109.5</v>
      </c>
      <c r="AW4" s="9">
        <v>42.5</v>
      </c>
      <c r="AX4" s="10">
        <v>0.15</v>
      </c>
      <c r="AY4" s="4">
        <v>13.6</v>
      </c>
      <c r="AZ4" s="4">
        <v>33.1</v>
      </c>
      <c r="BA4" s="10">
        <v>4.58</v>
      </c>
      <c r="BB4" s="4">
        <v>20.7</v>
      </c>
      <c r="BC4" s="10">
        <v>5.91</v>
      </c>
      <c r="BD4" s="10">
        <v>1.7</v>
      </c>
      <c r="BE4" s="10">
        <v>6.49</v>
      </c>
      <c r="BF4" s="10">
        <v>1.06</v>
      </c>
      <c r="BG4" s="10">
        <v>6.82</v>
      </c>
      <c r="BH4" s="10">
        <v>1.53</v>
      </c>
      <c r="BI4" s="10">
        <v>4.45</v>
      </c>
      <c r="BJ4" s="9">
        <v>0.79</v>
      </c>
      <c r="BK4" s="10">
        <v>5</v>
      </c>
      <c r="BL4" s="10">
        <v>0.7</v>
      </c>
      <c r="BM4" s="9"/>
      <c r="BN4" s="10">
        <v>1.64</v>
      </c>
      <c r="BO4" s="10">
        <v>0.41</v>
      </c>
      <c r="BP4" s="4">
        <v>9.6</v>
      </c>
      <c r="BQ4" s="10">
        <v>0.7</v>
      </c>
      <c r="BR4" s="9">
        <v>411</v>
      </c>
      <c r="BS4" s="4">
        <v>10</v>
      </c>
      <c r="BT4" s="9" t="s">
        <v>58</v>
      </c>
      <c r="BU4" s="9">
        <v>2</v>
      </c>
      <c r="BV4" s="9">
        <v>1</v>
      </c>
      <c r="BW4" s="9" t="s">
        <v>59</v>
      </c>
      <c r="BX4" s="9">
        <v>7.2</v>
      </c>
      <c r="BY4" s="9">
        <v>0.01</v>
      </c>
      <c r="BZ4" s="9" t="s">
        <v>60</v>
      </c>
      <c r="CA4" s="12">
        <v>1.7999999999999999E-2</v>
      </c>
      <c r="CB4" s="9" t="s">
        <v>61</v>
      </c>
      <c r="CC4" s="9">
        <v>0.05</v>
      </c>
      <c r="CD4" s="9" t="s">
        <v>62</v>
      </c>
      <c r="CE4" s="9" t="s">
        <v>63</v>
      </c>
      <c r="CF4" s="9" t="s">
        <v>64</v>
      </c>
      <c r="CG4" s="11">
        <f t="shared" ref="CG4:CG17" si="25">100*(I4/40.31)/(G4/0.89981/71.85+I4/40.31)</f>
        <v>15.667979906242831</v>
      </c>
      <c r="CH4" s="10">
        <f t="shared" ref="CH4:CH17" si="26">(F4/133.96)/(J4/56.08+K4/61.98+L4/94.2)</f>
        <v>0.75008038075462113</v>
      </c>
      <c r="CI4" s="10">
        <f t="shared" si="13"/>
        <v>0.13953488372093023</v>
      </c>
      <c r="CJ4" s="4">
        <f t="shared" si="14"/>
        <v>4.8999999999999995</v>
      </c>
      <c r="CK4" s="4">
        <f t="shared" si="15"/>
        <v>2.5764705882352943</v>
      </c>
      <c r="CL4" s="4">
        <f t="shared" si="16"/>
        <v>9.670588235294117</v>
      </c>
      <c r="CM4" s="4">
        <f t="shared" si="17"/>
        <v>13.714285714285715</v>
      </c>
      <c r="CN4" s="4">
        <f t="shared" si="18"/>
        <v>1.8477637130801687</v>
      </c>
      <c r="CO4" s="4">
        <f t="shared" si="19"/>
        <v>2.7199999999999998</v>
      </c>
      <c r="CP4" s="4">
        <f t="shared" si="20"/>
        <v>1.3640000000000001</v>
      </c>
      <c r="CQ4" s="10">
        <f t="shared" si="21"/>
        <v>0.83672324366009976</v>
      </c>
      <c r="CR4" s="4">
        <f>AN4/AM4</f>
        <v>2.1111111111111112</v>
      </c>
      <c r="CS4" s="38">
        <f t="shared" ref="CS4:CS17" si="27">(26400*D4/100-4800)/(12.4*D4/100-LN(M4/100)-3.97)-273.15</f>
        <v>927.90285611859201</v>
      </c>
      <c r="CT4" s="4">
        <f t="shared" ref="CT4:CT17" si="28">D4*28.086/(28.086+15.999*2)+F4*26.982*2/(26.982*2+15.999*3)+G4*55.845*2/(55.845*2+15.999*3)+J4*40.078/(40.078+15.999)+I4*32.99*2/(22.99*2+15.999)+L4*39.098*2/(39.098*2+15.999)+O4*51.996*2/(51.996*2+15.999*3)+E4*47.867/(47.867+15.999*2)+H4*54.938/(54.938+15.999)+M4*30.974*2/(30.974*2+15.999*5)+P4*87.62/(87.62+15.999)+N4*137.328/(137.328+15.999)</f>
        <v>47.711241889500883</v>
      </c>
      <c r="CU4" s="4">
        <f t="shared" ref="CU4:CU17" si="29">(K4*22.99*2/(22.99*2+15.999)+L4*39.098*2/(39.098*2+15.999)+2*J4*40.078/(40.078+15.999))/((F4*2*26.982/(26.982*2+15.999*3))*(D4*28.086/(28.086+15.999*2)))*CT4</f>
        <v>1.5075590568668156</v>
      </c>
      <c r="CV4" s="11">
        <f t="shared" ref="CV4:CV17" si="30">12900/(3.8+0.85*(CU4-1)+LN(496000/BR4))-273.15</f>
        <v>865.7053147979492</v>
      </c>
      <c r="CW4" s="11">
        <f t="shared" ref="CW4:CW17" si="31">10108/(1.48+1.16*(CU4-1)+LN(496000/BR4))-273.15</f>
        <v>829.80082480593626</v>
      </c>
    </row>
    <row r="5" spans="1:101" ht="14" customHeight="1">
      <c r="A5" s="3" t="s">
        <v>99</v>
      </c>
      <c r="B5" s="3" t="s">
        <v>93</v>
      </c>
      <c r="C5" s="3" t="s">
        <v>88</v>
      </c>
      <c r="D5" s="4">
        <v>77.599999999999994</v>
      </c>
      <c r="E5" s="9">
        <v>0.19</v>
      </c>
      <c r="F5" s="4">
        <v>11.1</v>
      </c>
      <c r="G5" s="4">
        <v>2.2999999999999998</v>
      </c>
      <c r="H5" s="9">
        <v>0.03</v>
      </c>
      <c r="I5" s="9">
        <v>0.26</v>
      </c>
      <c r="J5" s="4">
        <v>1.49</v>
      </c>
      <c r="K5" s="10">
        <v>4.0999999999999996</v>
      </c>
      <c r="L5" s="10">
        <v>1.34</v>
      </c>
      <c r="M5" s="9">
        <v>0.03</v>
      </c>
      <c r="N5" s="9">
        <v>0.05</v>
      </c>
      <c r="O5" s="35">
        <v>2E-3</v>
      </c>
      <c r="P5" s="10">
        <v>0.01</v>
      </c>
      <c r="Q5" s="4">
        <f t="shared" si="0"/>
        <v>78.781725888324857</v>
      </c>
      <c r="R5" s="10">
        <f t="shared" si="1"/>
        <v>0.19003800760152031</v>
      </c>
      <c r="S5" s="4">
        <f t="shared" si="2"/>
        <v>11.269035532994923</v>
      </c>
      <c r="T5" s="4">
        <f t="shared" si="3"/>
        <v>2.3350253807106598</v>
      </c>
      <c r="U5" s="10">
        <f t="shared" si="4"/>
        <v>3.0456852791878174E-2</v>
      </c>
      <c r="V5" s="10">
        <f t="shared" si="5"/>
        <v>0.26395939086294418</v>
      </c>
      <c r="W5" s="10">
        <f t="shared" si="6"/>
        <v>1.5126903553299493</v>
      </c>
      <c r="X5" s="10">
        <f t="shared" si="7"/>
        <v>4.1624365482233499</v>
      </c>
      <c r="Y5" s="10">
        <f t="shared" si="8"/>
        <v>1.3604060913705585</v>
      </c>
      <c r="Z5" s="10">
        <f t="shared" si="9"/>
        <v>3.0456852791878174E-2</v>
      </c>
      <c r="AA5" s="10">
        <f t="shared" si="10"/>
        <v>5.0761421319796954E-2</v>
      </c>
      <c r="AB5" s="10">
        <f t="shared" si="11"/>
        <v>2.0304568527918783E-3</v>
      </c>
      <c r="AC5" s="10">
        <f t="shared" si="12"/>
        <v>1.015228426395939E-2</v>
      </c>
      <c r="AD5" s="10">
        <v>0.01</v>
      </c>
      <c r="AE5" s="9" t="s">
        <v>63</v>
      </c>
      <c r="AF5" s="4">
        <v>0.82</v>
      </c>
      <c r="AG5" s="4">
        <v>99.32</v>
      </c>
      <c r="AH5" s="11">
        <f t="shared" si="22"/>
        <v>11123.991507430999</v>
      </c>
      <c r="AI5" s="11">
        <f t="shared" si="23"/>
        <v>1138.7343959332391</v>
      </c>
      <c r="AJ5" s="11">
        <f t="shared" si="24"/>
        <v>130.91447090319852</v>
      </c>
      <c r="AK5" s="11">
        <v>468</v>
      </c>
      <c r="AL5" s="9">
        <v>10</v>
      </c>
      <c r="AM5" s="9">
        <v>4</v>
      </c>
      <c r="AN5" s="9">
        <v>9</v>
      </c>
      <c r="AO5" s="9">
        <v>10</v>
      </c>
      <c r="AP5" s="9">
        <v>2</v>
      </c>
      <c r="AQ5" s="9" t="s">
        <v>65</v>
      </c>
      <c r="AR5" s="9">
        <v>6</v>
      </c>
      <c r="AS5" s="9">
        <v>17</v>
      </c>
      <c r="AT5" s="4">
        <v>15.5</v>
      </c>
      <c r="AU5" s="9">
        <v>20.5</v>
      </c>
      <c r="AV5" s="9">
        <v>61.6</v>
      </c>
      <c r="AW5" s="9">
        <v>46.4</v>
      </c>
      <c r="AX5" s="10">
        <v>0.12</v>
      </c>
      <c r="AY5" s="4">
        <v>23</v>
      </c>
      <c r="AZ5" s="4">
        <v>64.2</v>
      </c>
      <c r="BA5" s="10">
        <v>6.66</v>
      </c>
      <c r="BB5" s="4">
        <v>27.4</v>
      </c>
      <c r="BC5" s="10">
        <v>5.76</v>
      </c>
      <c r="BD5" s="10">
        <v>1.06</v>
      </c>
      <c r="BE5" s="10">
        <v>5.84</v>
      </c>
      <c r="BF5" s="10">
        <v>1.05</v>
      </c>
      <c r="BG5" s="10">
        <v>6.65</v>
      </c>
      <c r="BH5" s="10">
        <v>1.64</v>
      </c>
      <c r="BI5" s="10">
        <v>5.69</v>
      </c>
      <c r="BJ5" s="9">
        <v>0.91</v>
      </c>
      <c r="BK5" s="10">
        <v>6.54</v>
      </c>
      <c r="BL5" s="10">
        <v>1.03</v>
      </c>
      <c r="BM5" s="9"/>
      <c r="BN5" s="10">
        <v>5.39</v>
      </c>
      <c r="BO5" s="10">
        <v>1.05</v>
      </c>
      <c r="BP5" s="4">
        <v>11.2</v>
      </c>
      <c r="BQ5" s="10">
        <v>1.1000000000000001</v>
      </c>
      <c r="BR5" s="9">
        <v>167</v>
      </c>
      <c r="BS5" s="4">
        <v>5.9</v>
      </c>
      <c r="BT5" s="9" t="s">
        <v>58</v>
      </c>
      <c r="BU5" s="9">
        <v>1</v>
      </c>
      <c r="BV5" s="9" t="s">
        <v>65</v>
      </c>
      <c r="BW5" s="9" t="s">
        <v>59</v>
      </c>
      <c r="BX5" s="9">
        <v>1.8</v>
      </c>
      <c r="BY5" s="9">
        <v>0.01</v>
      </c>
      <c r="BZ5" s="9" t="s">
        <v>60</v>
      </c>
      <c r="CA5" s="12">
        <v>7.0000000000000001E-3</v>
      </c>
      <c r="CB5" s="9" t="s">
        <v>61</v>
      </c>
      <c r="CC5" s="9">
        <v>0.05</v>
      </c>
      <c r="CD5" s="9" t="s">
        <v>62</v>
      </c>
      <c r="CE5" s="9" t="s">
        <v>63</v>
      </c>
      <c r="CF5" s="9" t="s">
        <v>64</v>
      </c>
      <c r="CG5" s="11">
        <f t="shared" si="25"/>
        <v>15.347872389861962</v>
      </c>
      <c r="CH5" s="10">
        <f t="shared" si="26"/>
        <v>0.77479879147167163</v>
      </c>
      <c r="CI5" s="10">
        <f t="shared" si="13"/>
        <v>0.326829268292683</v>
      </c>
      <c r="CJ5" s="4">
        <f t="shared" si="14"/>
        <v>5.4399999999999995</v>
      </c>
      <c r="CK5" s="4">
        <f t="shared" si="15"/>
        <v>1.3275862068965518</v>
      </c>
      <c r="CL5" s="4">
        <f t="shared" si="16"/>
        <v>3.5991379310344827</v>
      </c>
      <c r="CM5" s="4">
        <f t="shared" si="17"/>
        <v>10.18181818181818</v>
      </c>
      <c r="CN5" s="4">
        <f t="shared" si="18"/>
        <v>2.3890630846849641</v>
      </c>
      <c r="CO5" s="4">
        <f t="shared" si="19"/>
        <v>3.5168195718654434</v>
      </c>
      <c r="CP5" s="4">
        <f t="shared" si="20"/>
        <v>1.0168195718654436</v>
      </c>
      <c r="CQ5" s="10">
        <f t="shared" si="21"/>
        <v>0.55710518573602297</v>
      </c>
      <c r="CR5" s="4">
        <f>AN5/AM5</f>
        <v>2.25</v>
      </c>
      <c r="CS5" s="38">
        <f t="shared" si="27"/>
        <v>866.50809567139174</v>
      </c>
      <c r="CT5" s="4">
        <f t="shared" si="28"/>
        <v>46.416158977404869</v>
      </c>
      <c r="CU5" s="4">
        <f t="shared" si="29"/>
        <v>1.368700371691512</v>
      </c>
      <c r="CV5" s="11">
        <f t="shared" si="30"/>
        <v>792.10885498444497</v>
      </c>
      <c r="CW5" s="11">
        <f t="shared" si="31"/>
        <v>747.44466491548189</v>
      </c>
    </row>
    <row r="6" spans="1:101" ht="14" customHeight="1">
      <c r="A6" s="3" t="s">
        <v>100</v>
      </c>
      <c r="B6" s="3" t="s">
        <v>93</v>
      </c>
      <c r="C6" s="3" t="s">
        <v>56</v>
      </c>
      <c r="D6" s="4">
        <v>74.7</v>
      </c>
      <c r="E6" s="9">
        <v>0.31</v>
      </c>
      <c r="F6" s="4">
        <v>13.3</v>
      </c>
      <c r="G6" s="4">
        <v>3.41</v>
      </c>
      <c r="H6" s="9">
        <v>0.03</v>
      </c>
      <c r="I6" s="9">
        <v>0.72</v>
      </c>
      <c r="J6" s="4">
        <v>0.85</v>
      </c>
      <c r="K6" s="10">
        <v>5.45</v>
      </c>
      <c r="L6" s="10">
        <v>0.6</v>
      </c>
      <c r="M6" s="9">
        <v>0.04</v>
      </c>
      <c r="N6" s="9">
        <v>0.03</v>
      </c>
      <c r="O6" s="35">
        <v>3.0000000000000001E-3</v>
      </c>
      <c r="P6" s="10">
        <v>0</v>
      </c>
      <c r="Q6" s="4">
        <f t="shared" si="0"/>
        <v>75.120675784392603</v>
      </c>
      <c r="R6" s="10">
        <f t="shared" si="1"/>
        <v>0.31006201240248055</v>
      </c>
      <c r="S6" s="4">
        <f t="shared" si="2"/>
        <v>13.37489943684634</v>
      </c>
      <c r="T6" s="4">
        <f t="shared" si="3"/>
        <v>3.4292035398230087</v>
      </c>
      <c r="U6" s="10">
        <f t="shared" si="4"/>
        <v>3.016894609814964E-2</v>
      </c>
      <c r="V6" s="10">
        <f t="shared" si="5"/>
        <v>0.72405470635559133</v>
      </c>
      <c r="W6" s="10">
        <f t="shared" si="6"/>
        <v>0.85478680611423974</v>
      </c>
      <c r="X6" s="10">
        <f t="shared" si="7"/>
        <v>5.4806918744971842</v>
      </c>
      <c r="Y6" s="10">
        <f t="shared" si="8"/>
        <v>0.60337892196299281</v>
      </c>
      <c r="Z6" s="10">
        <f t="shared" si="9"/>
        <v>4.0225261464199517E-2</v>
      </c>
      <c r="AA6" s="10">
        <f t="shared" si="10"/>
        <v>3.016894609814964E-2</v>
      </c>
      <c r="AB6" s="10">
        <f t="shared" si="11"/>
        <v>3.0168946098149637E-3</v>
      </c>
      <c r="AC6" s="10">
        <f t="shared" si="12"/>
        <v>0</v>
      </c>
      <c r="AD6" s="10">
        <v>0.1</v>
      </c>
      <c r="AE6" s="9" t="s">
        <v>63</v>
      </c>
      <c r="AF6" s="4">
        <v>1.34</v>
      </c>
      <c r="AG6" s="4">
        <v>100.78</v>
      </c>
      <c r="AH6" s="11">
        <f t="shared" si="22"/>
        <v>4980.8917197452229</v>
      </c>
      <c r="AI6" s="11">
        <f t="shared" si="23"/>
        <v>1857.9350670489689</v>
      </c>
      <c r="AJ6" s="11">
        <f t="shared" si="24"/>
        <v>174.55262787093136</v>
      </c>
      <c r="AK6" s="11">
        <v>208</v>
      </c>
      <c r="AL6" s="9">
        <v>10</v>
      </c>
      <c r="AM6" s="9">
        <v>8</v>
      </c>
      <c r="AN6" s="9">
        <v>18</v>
      </c>
      <c r="AO6" s="9">
        <v>20</v>
      </c>
      <c r="AP6" s="9">
        <v>3</v>
      </c>
      <c r="AQ6" s="9">
        <v>2</v>
      </c>
      <c r="AR6" s="9">
        <v>4</v>
      </c>
      <c r="AS6" s="9">
        <v>25</v>
      </c>
      <c r="AT6" s="4">
        <v>15.2</v>
      </c>
      <c r="AU6" s="9">
        <v>12.9</v>
      </c>
      <c r="AV6" s="9">
        <v>60.1</v>
      </c>
      <c r="AW6" s="9">
        <v>31.3</v>
      </c>
      <c r="AX6" s="10">
        <v>0.18</v>
      </c>
      <c r="AY6" s="4">
        <v>15.1</v>
      </c>
      <c r="AZ6" s="4">
        <v>32.6</v>
      </c>
      <c r="BA6" s="10">
        <v>4.17</v>
      </c>
      <c r="BB6" s="4">
        <v>17</v>
      </c>
      <c r="BC6" s="10">
        <v>3.84</v>
      </c>
      <c r="BD6" s="10">
        <v>0.56999999999999995</v>
      </c>
      <c r="BE6" s="10">
        <v>4.07</v>
      </c>
      <c r="BF6" s="10">
        <v>0.73</v>
      </c>
      <c r="BG6" s="10">
        <v>4.6500000000000004</v>
      </c>
      <c r="BH6" s="10">
        <v>1.1100000000000001</v>
      </c>
      <c r="BI6" s="10">
        <v>3.26</v>
      </c>
      <c r="BJ6" s="9">
        <v>0.54</v>
      </c>
      <c r="BK6" s="10">
        <v>3.57</v>
      </c>
      <c r="BL6" s="10">
        <v>0.54</v>
      </c>
      <c r="BM6" s="9"/>
      <c r="BN6" s="10">
        <v>3.14</v>
      </c>
      <c r="BO6" s="10">
        <v>0.79</v>
      </c>
      <c r="BP6" s="4">
        <v>7.6</v>
      </c>
      <c r="BQ6" s="10">
        <v>0.7</v>
      </c>
      <c r="BR6" s="9">
        <v>196</v>
      </c>
      <c r="BS6" s="4">
        <v>5.2</v>
      </c>
      <c r="BT6" s="9" t="s">
        <v>58</v>
      </c>
      <c r="BU6" s="9">
        <v>3</v>
      </c>
      <c r="BV6" s="9">
        <v>1</v>
      </c>
      <c r="BW6" s="9" t="s">
        <v>59</v>
      </c>
      <c r="BX6" s="9">
        <v>2.2999999999999998</v>
      </c>
      <c r="BY6" s="9" t="s">
        <v>63</v>
      </c>
      <c r="BZ6" s="9" t="s">
        <v>60</v>
      </c>
      <c r="CA6" s="12">
        <v>1.2E-2</v>
      </c>
      <c r="CB6" s="9" t="s">
        <v>61</v>
      </c>
      <c r="CC6" s="9">
        <v>0.05</v>
      </c>
      <c r="CD6" s="9" t="s">
        <v>62</v>
      </c>
      <c r="CE6" s="9" t="s">
        <v>63</v>
      </c>
      <c r="CF6" s="9" t="s">
        <v>64</v>
      </c>
      <c r="CG6" s="11">
        <f t="shared" si="25"/>
        <v>25.297519091224991</v>
      </c>
      <c r="CH6" s="10">
        <f t="shared" si="26"/>
        <v>0.90704586207640747</v>
      </c>
      <c r="CI6" s="10">
        <f t="shared" si="13"/>
        <v>0.11009174311926605</v>
      </c>
      <c r="CJ6" s="4">
        <f t="shared" si="14"/>
        <v>6.05</v>
      </c>
      <c r="CK6" s="4">
        <f t="shared" si="15"/>
        <v>1.9201277955271565</v>
      </c>
      <c r="CL6" s="4">
        <f t="shared" si="16"/>
        <v>6.2619808306709261</v>
      </c>
      <c r="CM6" s="4">
        <f t="shared" si="17"/>
        <v>10.857142857142858</v>
      </c>
      <c r="CN6" s="4">
        <f t="shared" si="18"/>
        <v>2.8733349880036405</v>
      </c>
      <c r="CO6" s="4">
        <f t="shared" si="19"/>
        <v>4.2296918767507004</v>
      </c>
      <c r="CP6" s="4">
        <f t="shared" si="20"/>
        <v>1.3025210084033616</v>
      </c>
      <c r="CQ6" s="10">
        <f t="shared" si="21"/>
        <v>0.43950218641903055</v>
      </c>
      <c r="CR6" s="4">
        <f>AN6/AM6</f>
        <v>2.25</v>
      </c>
      <c r="CS6" s="38">
        <f t="shared" si="27"/>
        <v>864.37955456293741</v>
      </c>
      <c r="CT6" s="4">
        <f t="shared" si="28"/>
        <v>46.46988924251341</v>
      </c>
      <c r="CU6" s="4">
        <f t="shared" si="29"/>
        <v>1.0882699796862938</v>
      </c>
      <c r="CV6" s="11">
        <f t="shared" si="30"/>
        <v>828.35533665035666</v>
      </c>
      <c r="CW6" s="11">
        <f t="shared" si="31"/>
        <v>800.04448383239344</v>
      </c>
    </row>
    <row r="7" spans="1:101" ht="14" customHeight="1">
      <c r="A7" s="3" t="s">
        <v>101</v>
      </c>
      <c r="B7" s="3" t="s">
        <v>93</v>
      </c>
      <c r="C7" s="3" t="s">
        <v>57</v>
      </c>
      <c r="D7" s="4">
        <v>68.400000000000006</v>
      </c>
      <c r="E7" s="9">
        <v>0.68</v>
      </c>
      <c r="F7" s="4">
        <v>14.25</v>
      </c>
      <c r="G7" s="4">
        <v>7.12</v>
      </c>
      <c r="H7" s="9">
        <v>7.0000000000000007E-2</v>
      </c>
      <c r="I7" s="9">
        <v>0.98</v>
      </c>
      <c r="J7" s="4">
        <v>3.12</v>
      </c>
      <c r="K7" s="10">
        <v>5.72</v>
      </c>
      <c r="L7" s="10">
        <v>0.59</v>
      </c>
      <c r="M7" s="9">
        <v>0.22</v>
      </c>
      <c r="N7" s="9">
        <v>0.02</v>
      </c>
      <c r="O7" s="35">
        <v>4.0000000000000001E-3</v>
      </c>
      <c r="P7" s="10">
        <v>0.01</v>
      </c>
      <c r="Q7" s="4">
        <f t="shared" si="0"/>
        <v>67.602292943269418</v>
      </c>
      <c r="R7" s="10">
        <f t="shared" si="1"/>
        <v>0.6801360272054412</v>
      </c>
      <c r="S7" s="4">
        <f t="shared" si="2"/>
        <v>14.083811029847794</v>
      </c>
      <c r="T7" s="4">
        <f t="shared" si="3"/>
        <v>7.0369638268432491</v>
      </c>
      <c r="U7" s="10">
        <f t="shared" si="4"/>
        <v>6.9183633129076896E-2</v>
      </c>
      <c r="V7" s="10">
        <f t="shared" si="5"/>
        <v>0.96857086380707647</v>
      </c>
      <c r="W7" s="10">
        <f t="shared" si="6"/>
        <v>3.0836133623245701</v>
      </c>
      <c r="X7" s="10">
        <f t="shared" si="7"/>
        <v>5.6532911642617112</v>
      </c>
      <c r="Y7" s="10">
        <f t="shared" si="8"/>
        <v>0.58311919351650521</v>
      </c>
      <c r="Z7" s="10">
        <f t="shared" si="9"/>
        <v>0.21743427554852737</v>
      </c>
      <c r="AA7" s="10">
        <f t="shared" si="10"/>
        <v>1.9766752322593395E-2</v>
      </c>
      <c r="AB7" s="10">
        <f t="shared" si="11"/>
        <v>3.9533504645186792E-3</v>
      </c>
      <c r="AC7" s="10">
        <f t="shared" si="12"/>
        <v>9.8833761612966975E-3</v>
      </c>
      <c r="AD7" s="10" t="s">
        <v>63</v>
      </c>
      <c r="AE7" s="9" t="s">
        <v>63</v>
      </c>
      <c r="AF7" s="4">
        <v>0.77</v>
      </c>
      <c r="AG7" s="4">
        <v>101.95</v>
      </c>
      <c r="AH7" s="11">
        <f t="shared" si="22"/>
        <v>4897.8768577494693</v>
      </c>
      <c r="AI7" s="11">
        <f t="shared" si="23"/>
        <v>4075.4704696558028</v>
      </c>
      <c r="AJ7" s="11">
        <f t="shared" si="24"/>
        <v>960.03945329012254</v>
      </c>
      <c r="AK7" s="11">
        <v>193.5</v>
      </c>
      <c r="AL7" s="9" t="s">
        <v>66</v>
      </c>
      <c r="AM7" s="9">
        <v>18</v>
      </c>
      <c r="AN7" s="9">
        <v>7</v>
      </c>
      <c r="AO7" s="9">
        <v>30</v>
      </c>
      <c r="AP7" s="9">
        <v>6</v>
      </c>
      <c r="AQ7" s="9" t="s">
        <v>65</v>
      </c>
      <c r="AR7" s="9">
        <v>3</v>
      </c>
      <c r="AS7" s="9">
        <v>18</v>
      </c>
      <c r="AT7" s="4">
        <v>21</v>
      </c>
      <c r="AU7" s="9">
        <v>11.5</v>
      </c>
      <c r="AV7" s="9">
        <v>135</v>
      </c>
      <c r="AW7" s="9">
        <v>46.3</v>
      </c>
      <c r="AX7" s="10">
        <v>0.06</v>
      </c>
      <c r="AY7" s="4">
        <v>17.100000000000001</v>
      </c>
      <c r="AZ7" s="4">
        <v>46.8</v>
      </c>
      <c r="BA7" s="10">
        <v>6.75</v>
      </c>
      <c r="BB7" s="4">
        <v>29.5</v>
      </c>
      <c r="BC7" s="10">
        <v>7.9</v>
      </c>
      <c r="BD7" s="10">
        <v>1.65</v>
      </c>
      <c r="BE7" s="10">
        <v>7.93</v>
      </c>
      <c r="BF7" s="10">
        <v>1.3</v>
      </c>
      <c r="BG7" s="10">
        <v>8.11</v>
      </c>
      <c r="BH7" s="10">
        <v>1.8</v>
      </c>
      <c r="BI7" s="10">
        <v>5.17</v>
      </c>
      <c r="BJ7" s="9">
        <v>0.75</v>
      </c>
      <c r="BK7" s="10">
        <v>4.79</v>
      </c>
      <c r="BL7" s="10">
        <v>0.72</v>
      </c>
      <c r="BM7" s="9"/>
      <c r="BN7" s="10">
        <v>2.38</v>
      </c>
      <c r="BO7" s="10">
        <v>0.62</v>
      </c>
      <c r="BP7" s="4">
        <v>8.9</v>
      </c>
      <c r="BQ7" s="10">
        <v>0.7</v>
      </c>
      <c r="BR7" s="9">
        <v>257</v>
      </c>
      <c r="BS7" s="4">
        <v>6.8</v>
      </c>
      <c r="BT7" s="9" t="s">
        <v>58</v>
      </c>
      <c r="BU7" s="9">
        <v>1</v>
      </c>
      <c r="BV7" s="9">
        <v>1</v>
      </c>
      <c r="BW7" s="9" t="s">
        <v>59</v>
      </c>
      <c r="BX7" s="9">
        <v>0.2</v>
      </c>
      <c r="BY7" s="9">
        <v>0.01</v>
      </c>
      <c r="BZ7" s="9" t="s">
        <v>60</v>
      </c>
      <c r="CA7" s="12">
        <v>2.4E-2</v>
      </c>
      <c r="CB7" s="9" t="s">
        <v>61</v>
      </c>
      <c r="CC7" s="9">
        <v>0.05</v>
      </c>
      <c r="CD7" s="9" t="s">
        <v>62</v>
      </c>
      <c r="CE7" s="9" t="s">
        <v>63</v>
      </c>
      <c r="CF7" s="9" t="s">
        <v>64</v>
      </c>
      <c r="CG7" s="11">
        <f t="shared" si="25"/>
        <v>18.083492135105807</v>
      </c>
      <c r="CH7" s="10">
        <f t="shared" si="26"/>
        <v>0.68991411766119826</v>
      </c>
      <c r="CI7" s="10">
        <f t="shared" si="13"/>
        <v>0.10314685314685315</v>
      </c>
      <c r="CJ7" s="4">
        <f t="shared" si="14"/>
        <v>6.31</v>
      </c>
      <c r="CK7" s="4">
        <f t="shared" si="15"/>
        <v>2.9157667386609072</v>
      </c>
      <c r="CL7" s="4">
        <f t="shared" si="16"/>
        <v>5.550755939524838</v>
      </c>
      <c r="CM7" s="4">
        <f t="shared" si="17"/>
        <v>12.714285714285715</v>
      </c>
      <c r="CN7" s="4">
        <f t="shared" si="18"/>
        <v>2.4251473269733888</v>
      </c>
      <c r="CO7" s="4">
        <f t="shared" si="19"/>
        <v>3.5699373695198333</v>
      </c>
      <c r="CP7" s="4">
        <f t="shared" si="20"/>
        <v>1.6931106471816282</v>
      </c>
      <c r="CQ7" s="10">
        <f t="shared" si="21"/>
        <v>0.63545208053364388</v>
      </c>
      <c r="CR7" s="4">
        <f>AN7/AM7</f>
        <v>0.3888888888888889</v>
      </c>
      <c r="CS7" s="38">
        <f t="shared" si="27"/>
        <v>973.93186472019431</v>
      </c>
      <c r="CT7" s="4">
        <f t="shared" si="28"/>
        <v>48.844988924927151</v>
      </c>
      <c r="CU7" s="4">
        <f t="shared" si="29"/>
        <v>1.8621001359349325</v>
      </c>
      <c r="CV7" s="11">
        <f t="shared" si="30"/>
        <v>793.13840274753318</v>
      </c>
      <c r="CW7" s="11">
        <f t="shared" si="31"/>
        <v>733.09259862308545</v>
      </c>
    </row>
    <row r="8" spans="1:101" ht="14" customHeight="1">
      <c r="A8" s="3" t="s">
        <v>102</v>
      </c>
      <c r="B8" s="3" t="s">
        <v>93</v>
      </c>
      <c r="C8" s="3" t="s">
        <v>89</v>
      </c>
      <c r="D8" s="4">
        <v>63.1</v>
      </c>
      <c r="E8" s="9">
        <v>1.1200000000000001</v>
      </c>
      <c r="F8" s="4">
        <v>15.6</v>
      </c>
      <c r="G8" s="4">
        <v>3.44</v>
      </c>
      <c r="H8" s="9">
        <v>0.05</v>
      </c>
      <c r="I8" s="9">
        <v>2.67</v>
      </c>
      <c r="J8" s="4">
        <v>7.07</v>
      </c>
      <c r="K8" s="10">
        <v>6.85</v>
      </c>
      <c r="L8" s="10">
        <v>0.21</v>
      </c>
      <c r="M8" s="9">
        <v>0.28999999999999998</v>
      </c>
      <c r="N8" s="9">
        <v>0.01</v>
      </c>
      <c r="O8" s="35">
        <v>2E-3</v>
      </c>
      <c r="P8" s="10">
        <v>0.02</v>
      </c>
      <c r="Q8" s="4">
        <f t="shared" si="0"/>
        <v>62.829831723588576</v>
      </c>
      <c r="R8" s="10">
        <f t="shared" si="1"/>
        <v>1.120224044808962</v>
      </c>
      <c r="S8" s="4">
        <f t="shared" si="2"/>
        <v>15.533207209001295</v>
      </c>
      <c r="T8" s="4">
        <f t="shared" si="3"/>
        <v>3.4252713332669522</v>
      </c>
      <c r="U8" s="10">
        <f t="shared" si="4"/>
        <v>4.9785920541670817E-2</v>
      </c>
      <c r="V8" s="10">
        <f t="shared" si="5"/>
        <v>2.6585681569252215</v>
      </c>
      <c r="W8" s="10">
        <f t="shared" si="6"/>
        <v>7.039729164592254</v>
      </c>
      <c r="X8" s="10">
        <f t="shared" si="7"/>
        <v>6.8206711142089018</v>
      </c>
      <c r="Y8" s="10">
        <f t="shared" si="8"/>
        <v>0.20910086627501745</v>
      </c>
      <c r="Z8" s="10">
        <f t="shared" si="9"/>
        <v>0.28875833914169069</v>
      </c>
      <c r="AA8" s="10">
        <f t="shared" si="10"/>
        <v>9.9571841083341637E-3</v>
      </c>
      <c r="AB8" s="10">
        <f t="shared" si="11"/>
        <v>1.9914368216668327E-3</v>
      </c>
      <c r="AC8" s="10">
        <f t="shared" si="12"/>
        <v>1.9914368216668327E-2</v>
      </c>
      <c r="AD8" s="10">
        <v>0.02</v>
      </c>
      <c r="AE8" s="9" t="s">
        <v>63</v>
      </c>
      <c r="AF8" s="4">
        <v>0.7</v>
      </c>
      <c r="AG8" s="4">
        <v>101.13</v>
      </c>
      <c r="AH8" s="11">
        <f t="shared" si="22"/>
        <v>1743.312101910828</v>
      </c>
      <c r="AI8" s="11">
        <f t="shared" si="23"/>
        <v>6712.5395970801474</v>
      </c>
      <c r="AJ8" s="11">
        <f t="shared" si="24"/>
        <v>1265.5065520642524</v>
      </c>
      <c r="AK8" s="11">
        <v>102.5</v>
      </c>
      <c r="AL8" s="9" t="s">
        <v>66</v>
      </c>
      <c r="AM8" s="9">
        <v>23</v>
      </c>
      <c r="AN8" s="9">
        <v>104</v>
      </c>
      <c r="AO8" s="9">
        <v>10</v>
      </c>
      <c r="AP8" s="9">
        <v>4</v>
      </c>
      <c r="AQ8" s="9">
        <v>1</v>
      </c>
      <c r="AR8" s="9">
        <v>1</v>
      </c>
      <c r="AS8" s="9">
        <v>10</v>
      </c>
      <c r="AT8" s="4">
        <v>22.3</v>
      </c>
      <c r="AU8" s="9">
        <v>2.6</v>
      </c>
      <c r="AV8" s="9">
        <v>188</v>
      </c>
      <c r="AW8" s="9">
        <v>53.9</v>
      </c>
      <c r="AX8" s="10">
        <v>0.05</v>
      </c>
      <c r="AY8" s="4">
        <v>20.2</v>
      </c>
      <c r="AZ8" s="4">
        <v>62.8</v>
      </c>
      <c r="BA8" s="10">
        <v>9.18</v>
      </c>
      <c r="BB8" s="4">
        <v>41.5</v>
      </c>
      <c r="BC8" s="10">
        <v>9.34</v>
      </c>
      <c r="BD8" s="10">
        <v>2.4700000000000002</v>
      </c>
      <c r="BE8" s="10">
        <v>9.76</v>
      </c>
      <c r="BF8" s="10">
        <v>1.58</v>
      </c>
      <c r="BG8" s="10">
        <v>9.23</v>
      </c>
      <c r="BH8" s="10">
        <v>2.0499999999999998</v>
      </c>
      <c r="BI8" s="10">
        <v>6.37</v>
      </c>
      <c r="BJ8" s="9">
        <v>0.92</v>
      </c>
      <c r="BK8" s="10">
        <v>5.8</v>
      </c>
      <c r="BL8" s="10">
        <v>0.89</v>
      </c>
      <c r="BM8" s="9"/>
      <c r="BN8" s="10">
        <v>2.2599999999999998</v>
      </c>
      <c r="BO8" s="10">
        <v>0.44</v>
      </c>
      <c r="BP8" s="4">
        <v>12.7</v>
      </c>
      <c r="BQ8" s="10">
        <v>0.8</v>
      </c>
      <c r="BR8" s="9">
        <v>176</v>
      </c>
      <c r="BS8" s="4">
        <v>4.5</v>
      </c>
      <c r="BT8" s="9" t="s">
        <v>58</v>
      </c>
      <c r="BU8" s="9">
        <v>2</v>
      </c>
      <c r="BV8" s="9" t="s">
        <v>65</v>
      </c>
      <c r="BW8" s="9" t="s">
        <v>59</v>
      </c>
      <c r="BX8" s="9">
        <v>0.3</v>
      </c>
      <c r="BY8" s="9" t="s">
        <v>63</v>
      </c>
      <c r="BZ8" s="9" t="s">
        <v>60</v>
      </c>
      <c r="CA8" s="12">
        <v>8.0000000000000002E-3</v>
      </c>
      <c r="CB8" s="9" t="s">
        <v>61</v>
      </c>
      <c r="CC8" s="9" t="s">
        <v>67</v>
      </c>
      <c r="CD8" s="9" t="s">
        <v>62</v>
      </c>
      <c r="CE8" s="9" t="s">
        <v>63</v>
      </c>
      <c r="CF8" s="9" t="s">
        <v>64</v>
      </c>
      <c r="CG8" s="11">
        <f t="shared" si="25"/>
        <v>55.453627046715809</v>
      </c>
      <c r="CH8" s="10">
        <f t="shared" si="26"/>
        <v>0.48761952788837915</v>
      </c>
      <c r="CI8" s="10">
        <f t="shared" si="13"/>
        <v>3.0656934306569343E-2</v>
      </c>
      <c r="CJ8" s="4">
        <f t="shared" si="14"/>
        <v>7.06</v>
      </c>
      <c r="CK8" s="4">
        <f t="shared" si="15"/>
        <v>3.4879406307977736</v>
      </c>
      <c r="CL8" s="4">
        <f t="shared" si="16"/>
        <v>3.2653061224489797</v>
      </c>
      <c r="CM8" s="4">
        <f t="shared" si="17"/>
        <v>15.874999999999998</v>
      </c>
      <c r="CN8" s="4">
        <f t="shared" si="18"/>
        <v>2.3659246326203984</v>
      </c>
      <c r="CO8" s="4">
        <f t="shared" si="19"/>
        <v>3.4827586206896552</v>
      </c>
      <c r="CP8" s="4">
        <f t="shared" si="20"/>
        <v>1.5913793103448277</v>
      </c>
      <c r="CQ8" s="10">
        <f t="shared" si="21"/>
        <v>0.78858335751727093</v>
      </c>
      <c r="CR8" s="4">
        <f>AN8/AM8</f>
        <v>4.5217391304347823</v>
      </c>
      <c r="CS8" s="38">
        <f t="shared" si="27"/>
        <v>949.68761960724862</v>
      </c>
      <c r="CT8" s="4">
        <f t="shared" si="28"/>
        <v>49.0917181312807</v>
      </c>
      <c r="CU8" s="4">
        <f t="shared" si="29"/>
        <v>3.0966928154703726</v>
      </c>
      <c r="CV8" s="11">
        <f t="shared" si="30"/>
        <v>680.56621818738279</v>
      </c>
      <c r="CW8" s="11">
        <f t="shared" si="31"/>
        <v>579.41332042825491</v>
      </c>
    </row>
    <row r="9" spans="1:101" ht="14" customHeight="1">
      <c r="A9" s="3" t="s">
        <v>103</v>
      </c>
      <c r="B9" s="3" t="s">
        <v>93</v>
      </c>
      <c r="C9" s="3" t="s">
        <v>90</v>
      </c>
      <c r="D9" s="4">
        <v>68.5</v>
      </c>
      <c r="E9" s="9">
        <v>0.51</v>
      </c>
      <c r="F9" s="4">
        <v>13.5</v>
      </c>
      <c r="G9" s="4">
        <v>8.35</v>
      </c>
      <c r="H9" s="9">
        <v>0.17</v>
      </c>
      <c r="I9" s="9">
        <v>0.24</v>
      </c>
      <c r="J9" s="4">
        <v>3.7</v>
      </c>
      <c r="K9" s="10">
        <v>4.7</v>
      </c>
      <c r="L9" s="10">
        <v>0.55000000000000004</v>
      </c>
      <c r="M9" s="9">
        <v>0.11</v>
      </c>
      <c r="N9" s="35">
        <v>0.02</v>
      </c>
      <c r="O9" s="35">
        <v>3.0000000000000001E-3</v>
      </c>
      <c r="P9" s="10">
        <v>0.01</v>
      </c>
      <c r="Q9" s="4">
        <f t="shared" si="0"/>
        <v>68.254284575528104</v>
      </c>
      <c r="R9" s="10">
        <f t="shared" si="1"/>
        <v>0.51010202040408081</v>
      </c>
      <c r="S9" s="4">
        <f t="shared" si="2"/>
        <v>13.451574332403348</v>
      </c>
      <c r="T9" s="4">
        <f t="shared" si="3"/>
        <v>8.3200478278198489</v>
      </c>
      <c r="U9" s="10">
        <f t="shared" si="4"/>
        <v>0.16939019529693106</v>
      </c>
      <c r="V9" s="10">
        <f t="shared" si="5"/>
        <v>0.23913909924272619</v>
      </c>
      <c r="W9" s="10">
        <f t="shared" si="6"/>
        <v>3.6867277799920286</v>
      </c>
      <c r="X9" s="10">
        <f t="shared" si="7"/>
        <v>4.6831406935033879</v>
      </c>
      <c r="Y9" s="10">
        <f t="shared" si="8"/>
        <v>0.54802710243124764</v>
      </c>
      <c r="Z9" s="10">
        <f t="shared" si="9"/>
        <v>0.10960542048624951</v>
      </c>
      <c r="AA9" s="10">
        <f t="shared" si="10"/>
        <v>1.9928258270227182E-2</v>
      </c>
      <c r="AB9" s="10">
        <f t="shared" si="11"/>
        <v>2.9892387405340772E-3</v>
      </c>
      <c r="AC9" s="10">
        <f t="shared" si="12"/>
        <v>9.9641291351135908E-3</v>
      </c>
      <c r="AD9" s="10">
        <v>0.01</v>
      </c>
      <c r="AE9" s="9" t="s">
        <v>63</v>
      </c>
      <c r="AF9" s="4">
        <v>0.9</v>
      </c>
      <c r="AG9" s="4">
        <v>101.26</v>
      </c>
      <c r="AH9" s="11">
        <f t="shared" si="22"/>
        <v>4565.8174097664551</v>
      </c>
      <c r="AI9" s="11">
        <f t="shared" si="23"/>
        <v>3056.6028522418524</v>
      </c>
      <c r="AJ9" s="11">
        <f t="shared" si="24"/>
        <v>480.01972664506127</v>
      </c>
      <c r="AK9" s="11">
        <v>213</v>
      </c>
      <c r="AL9" s="9">
        <v>10</v>
      </c>
      <c r="AM9" s="9">
        <v>24</v>
      </c>
      <c r="AN9" s="9" t="s">
        <v>58</v>
      </c>
      <c r="AO9" s="9">
        <v>20</v>
      </c>
      <c r="AP9" s="9">
        <v>1</v>
      </c>
      <c r="AQ9" s="9">
        <v>1</v>
      </c>
      <c r="AR9" s="9">
        <v>18</v>
      </c>
      <c r="AS9" s="9">
        <v>92</v>
      </c>
      <c r="AT9" s="4">
        <v>22.9</v>
      </c>
      <c r="AU9" s="9">
        <v>9.3000000000000007</v>
      </c>
      <c r="AV9" s="9">
        <v>146</v>
      </c>
      <c r="AW9" s="9">
        <v>45.9</v>
      </c>
      <c r="AX9" s="10">
        <v>0.33</v>
      </c>
      <c r="AY9" s="4">
        <v>17.8</v>
      </c>
      <c r="AZ9" s="4">
        <v>42.9</v>
      </c>
      <c r="BA9" s="10">
        <v>5.98</v>
      </c>
      <c r="BB9" s="4">
        <v>26</v>
      </c>
      <c r="BC9" s="10">
        <v>7.13</v>
      </c>
      <c r="BD9" s="10">
        <v>2.35</v>
      </c>
      <c r="BE9" s="10">
        <v>7.67</v>
      </c>
      <c r="BF9" s="10">
        <v>1.28</v>
      </c>
      <c r="BG9" s="10">
        <v>7.55</v>
      </c>
      <c r="BH9" s="10">
        <v>1.73</v>
      </c>
      <c r="BI9" s="10">
        <v>5.18</v>
      </c>
      <c r="BJ9" s="9">
        <v>0.77</v>
      </c>
      <c r="BK9" s="10">
        <v>5.0999999999999996</v>
      </c>
      <c r="BL9" s="10">
        <v>0.75</v>
      </c>
      <c r="BM9" s="9"/>
      <c r="BN9" s="10">
        <v>1.83</v>
      </c>
      <c r="BO9" s="10">
        <v>0.39</v>
      </c>
      <c r="BP9" s="4">
        <v>10.3</v>
      </c>
      <c r="BQ9" s="10">
        <v>0.8</v>
      </c>
      <c r="BR9" s="9">
        <v>179</v>
      </c>
      <c r="BS9" s="4">
        <v>4.9000000000000004</v>
      </c>
      <c r="BT9" s="9" t="s">
        <v>58</v>
      </c>
      <c r="BU9" s="9">
        <v>1</v>
      </c>
      <c r="BV9" s="9" t="s">
        <v>65</v>
      </c>
      <c r="BW9" s="9" t="s">
        <v>59</v>
      </c>
      <c r="BX9" s="9">
        <v>0.3</v>
      </c>
      <c r="BY9" s="9">
        <v>0.01</v>
      </c>
      <c r="BZ9" s="9" t="s">
        <v>60</v>
      </c>
      <c r="CA9" s="12">
        <v>0.04</v>
      </c>
      <c r="CB9" s="9" t="s">
        <v>61</v>
      </c>
      <c r="CC9" s="9">
        <v>0.12</v>
      </c>
      <c r="CD9" s="9">
        <v>0.2</v>
      </c>
      <c r="CE9" s="9" t="s">
        <v>63</v>
      </c>
      <c r="CF9" s="9" t="s">
        <v>64</v>
      </c>
      <c r="CG9" s="11">
        <f t="shared" si="25"/>
        <v>4.4067341877327548</v>
      </c>
      <c r="CH9" s="10">
        <f t="shared" si="26"/>
        <v>0.682550512644026</v>
      </c>
      <c r="CI9" s="10">
        <f t="shared" si="13"/>
        <v>0.11702127659574468</v>
      </c>
      <c r="CJ9" s="4">
        <f t="shared" si="14"/>
        <v>5.25</v>
      </c>
      <c r="CK9" s="4">
        <f t="shared" si="15"/>
        <v>3.1808278867102397</v>
      </c>
      <c r="CL9" s="4">
        <f t="shared" si="16"/>
        <v>3.8997821350762529</v>
      </c>
      <c r="CM9" s="4">
        <f t="shared" si="17"/>
        <v>12.875</v>
      </c>
      <c r="CN9" s="4">
        <f t="shared" si="18"/>
        <v>2.3709770828162493</v>
      </c>
      <c r="CO9" s="4">
        <f t="shared" si="19"/>
        <v>3.490196078431373</v>
      </c>
      <c r="CP9" s="4">
        <f t="shared" si="20"/>
        <v>1.4803921568627452</v>
      </c>
      <c r="CQ9" s="10">
        <f t="shared" si="21"/>
        <v>0.9686668031247454</v>
      </c>
      <c r="CR9" s="4"/>
      <c r="CS9" s="38">
        <f t="shared" si="27"/>
        <v>898.64590989801889</v>
      </c>
      <c r="CT9" s="4">
        <f t="shared" si="28"/>
        <v>48.87550047575855</v>
      </c>
      <c r="CU9" s="4">
        <f t="shared" si="29"/>
        <v>1.9722682257206219</v>
      </c>
      <c r="CV9" s="11">
        <f t="shared" si="30"/>
        <v>754.46222800076578</v>
      </c>
      <c r="CW9" s="11">
        <f t="shared" si="31"/>
        <v>686.33879029253046</v>
      </c>
    </row>
    <row r="10" spans="1:101" ht="14" customHeight="1">
      <c r="A10" s="3" t="s">
        <v>104</v>
      </c>
      <c r="B10" s="3" t="s">
        <v>93</v>
      </c>
      <c r="C10" s="3" t="s">
        <v>90</v>
      </c>
      <c r="D10" s="4">
        <v>80.099999999999994</v>
      </c>
      <c r="E10" s="9">
        <v>0.17</v>
      </c>
      <c r="F10" s="4">
        <v>10.6</v>
      </c>
      <c r="G10" s="4">
        <v>1.79</v>
      </c>
      <c r="H10" s="9">
        <v>0.01</v>
      </c>
      <c r="I10" s="9">
        <v>0.17</v>
      </c>
      <c r="J10" s="4">
        <v>1.01</v>
      </c>
      <c r="K10" s="10">
        <v>5.71</v>
      </c>
      <c r="L10" s="10">
        <v>0.59</v>
      </c>
      <c r="M10" s="9">
        <v>0.02</v>
      </c>
      <c r="N10" s="35">
        <v>0.01</v>
      </c>
      <c r="O10" s="35">
        <v>2E-3</v>
      </c>
      <c r="P10" s="10">
        <v>0</v>
      </c>
      <c r="Q10" s="4">
        <f t="shared" si="0"/>
        <v>79.956079057696144</v>
      </c>
      <c r="R10" s="10">
        <f t="shared" si="1"/>
        <v>0.1700340068013603</v>
      </c>
      <c r="S10" s="4">
        <f t="shared" si="2"/>
        <v>10.580954282291875</v>
      </c>
      <c r="T10" s="4">
        <f t="shared" si="3"/>
        <v>1.7867837891794771</v>
      </c>
      <c r="U10" s="10">
        <f t="shared" si="4"/>
        <v>9.982032341784788E-3</v>
      </c>
      <c r="V10" s="10">
        <f t="shared" si="5"/>
        <v>0.16969454981034141</v>
      </c>
      <c r="W10" s="10">
        <f t="shared" si="6"/>
        <v>1.0081852665202635</v>
      </c>
      <c r="X10" s="10">
        <f t="shared" si="7"/>
        <v>5.6997404671591143</v>
      </c>
      <c r="Y10" s="10">
        <f t="shared" si="8"/>
        <v>0.58893990816530251</v>
      </c>
      <c r="Z10" s="10">
        <f t="shared" si="9"/>
        <v>1.9964064683569576E-2</v>
      </c>
      <c r="AA10" s="10">
        <f t="shared" si="10"/>
        <v>9.982032341784788E-3</v>
      </c>
      <c r="AB10" s="10">
        <f t="shared" si="11"/>
        <v>1.9964064683569579E-3</v>
      </c>
      <c r="AC10" s="10">
        <f t="shared" si="12"/>
        <v>0</v>
      </c>
      <c r="AD10" s="10">
        <v>0.17</v>
      </c>
      <c r="AE10" s="9">
        <v>0.34</v>
      </c>
      <c r="AF10" s="4">
        <v>0.89</v>
      </c>
      <c r="AG10" s="4">
        <v>101.07</v>
      </c>
      <c r="AH10" s="11">
        <f t="shared" si="22"/>
        <v>4897.8768577494693</v>
      </c>
      <c r="AI10" s="11">
        <f t="shared" si="23"/>
        <v>1018.8676174139507</v>
      </c>
      <c r="AJ10" s="11">
        <f t="shared" si="24"/>
        <v>87.27631393546568</v>
      </c>
      <c r="AK10" s="11">
        <v>100.5</v>
      </c>
      <c r="AL10" s="9" t="s">
        <v>66</v>
      </c>
      <c r="AM10" s="9">
        <v>7</v>
      </c>
      <c r="AN10" s="9">
        <v>7</v>
      </c>
      <c r="AO10" s="9">
        <v>10</v>
      </c>
      <c r="AP10" s="9">
        <v>3</v>
      </c>
      <c r="AQ10" s="9">
        <v>9</v>
      </c>
      <c r="AR10" s="9">
        <v>22</v>
      </c>
      <c r="AS10" s="9">
        <v>6</v>
      </c>
      <c r="AT10" s="4">
        <v>14.4</v>
      </c>
      <c r="AU10" s="9">
        <v>9.6</v>
      </c>
      <c r="AV10" s="9">
        <v>44.2</v>
      </c>
      <c r="AW10" s="9">
        <v>59.9</v>
      </c>
      <c r="AX10" s="10">
        <v>0.11</v>
      </c>
      <c r="AY10" s="4">
        <v>49.2</v>
      </c>
      <c r="AZ10" s="11">
        <v>105</v>
      </c>
      <c r="BA10" s="4">
        <v>12.45</v>
      </c>
      <c r="BB10" s="4">
        <v>49.2</v>
      </c>
      <c r="BC10" s="4">
        <v>10.7</v>
      </c>
      <c r="BD10" s="10">
        <v>1.48</v>
      </c>
      <c r="BE10" s="4">
        <v>10.6</v>
      </c>
      <c r="BF10" s="10">
        <v>1.61</v>
      </c>
      <c r="BG10" s="10">
        <v>9.73</v>
      </c>
      <c r="BH10" s="10">
        <v>2.16</v>
      </c>
      <c r="BI10" s="10">
        <v>6.87</v>
      </c>
      <c r="BJ10" s="9">
        <v>1.02</v>
      </c>
      <c r="BK10" s="10">
        <v>6.69</v>
      </c>
      <c r="BL10" s="10">
        <v>0.95</v>
      </c>
      <c r="BM10" s="9"/>
      <c r="BN10" s="10">
        <v>3.63</v>
      </c>
      <c r="BO10" s="10">
        <v>0.9</v>
      </c>
      <c r="BP10" s="4">
        <v>17.399999999999999</v>
      </c>
      <c r="BQ10" s="10">
        <v>1.1000000000000001</v>
      </c>
      <c r="BR10" s="9">
        <v>298</v>
      </c>
      <c r="BS10" s="4">
        <v>7.8</v>
      </c>
      <c r="BT10" s="9" t="s">
        <v>58</v>
      </c>
      <c r="BU10" s="9">
        <v>2</v>
      </c>
      <c r="BV10" s="9">
        <v>1</v>
      </c>
      <c r="BW10" s="9" t="s">
        <v>59</v>
      </c>
      <c r="BX10" s="9">
        <v>1.9</v>
      </c>
      <c r="BY10" s="9">
        <v>0.05</v>
      </c>
      <c r="BZ10" s="9" t="s">
        <v>60</v>
      </c>
      <c r="CA10" s="12">
        <v>5.3999999999999999E-2</v>
      </c>
      <c r="CB10" s="9" t="s">
        <v>61</v>
      </c>
      <c r="CC10" s="9" t="s">
        <v>67</v>
      </c>
      <c r="CD10" s="9" t="s">
        <v>62</v>
      </c>
      <c r="CE10" s="9">
        <v>0.03</v>
      </c>
      <c r="CF10" s="9" t="s">
        <v>64</v>
      </c>
      <c r="CG10" s="11">
        <f t="shared" si="25"/>
        <v>13.218649428479647</v>
      </c>
      <c r="CH10" s="10">
        <f t="shared" si="26"/>
        <v>0.6797961287854859</v>
      </c>
      <c r="CI10" s="10">
        <f t="shared" si="13"/>
        <v>0.10332749562171628</v>
      </c>
      <c r="CJ10" s="4">
        <f t="shared" si="14"/>
        <v>6.3</v>
      </c>
      <c r="CK10" s="4">
        <f t="shared" si="15"/>
        <v>0.73789649415692826</v>
      </c>
      <c r="CL10" s="4">
        <f t="shared" si="16"/>
        <v>4.9749582637729555</v>
      </c>
      <c r="CM10" s="4">
        <f t="shared" si="17"/>
        <v>15.818181818181815</v>
      </c>
      <c r="CN10" s="4">
        <f t="shared" si="18"/>
        <v>4.9959319596601777</v>
      </c>
      <c r="CO10" s="4">
        <f t="shared" si="19"/>
        <v>7.3542600896860986</v>
      </c>
      <c r="CP10" s="4">
        <f t="shared" si="20"/>
        <v>1.4544095665171899</v>
      </c>
      <c r="CQ10" s="10">
        <f t="shared" si="21"/>
        <v>0.42360969878742588</v>
      </c>
      <c r="CR10" s="4">
        <f t="shared" ref="CR10:CR17" si="32">AN10/AM10</f>
        <v>1</v>
      </c>
      <c r="CS10" s="38">
        <f t="shared" si="27"/>
        <v>855.77674427417207</v>
      </c>
      <c r="CT10" s="4">
        <f t="shared" si="28"/>
        <v>45.825833428586868</v>
      </c>
      <c r="CU10" s="4">
        <f t="shared" si="29"/>
        <v>1.3459290824444146</v>
      </c>
      <c r="CV10" s="11">
        <f t="shared" si="30"/>
        <v>847.49017812496743</v>
      </c>
      <c r="CW10" s="11">
        <f t="shared" si="31"/>
        <v>813.90524544154152</v>
      </c>
    </row>
    <row r="11" spans="1:101" ht="14" customHeight="1">
      <c r="A11" s="3" t="s">
        <v>105</v>
      </c>
      <c r="B11" s="3" t="s">
        <v>93</v>
      </c>
      <c r="C11" s="3" t="s">
        <v>90</v>
      </c>
      <c r="D11" s="4">
        <v>76.2</v>
      </c>
      <c r="E11" s="9">
        <v>0.26</v>
      </c>
      <c r="F11" s="4">
        <v>11.2</v>
      </c>
      <c r="G11" s="4">
        <v>0.78</v>
      </c>
      <c r="H11" s="9">
        <v>0.01</v>
      </c>
      <c r="I11" s="9">
        <v>0.73</v>
      </c>
      <c r="J11" s="4">
        <v>2.31</v>
      </c>
      <c r="K11" s="10">
        <v>5.26</v>
      </c>
      <c r="L11" s="10">
        <v>0.37</v>
      </c>
      <c r="M11" s="9">
        <v>0.04</v>
      </c>
      <c r="N11" s="35">
        <v>0.02</v>
      </c>
      <c r="O11" s="35">
        <v>2E-3</v>
      </c>
      <c r="P11" s="10">
        <v>0.01</v>
      </c>
      <c r="Q11" s="4">
        <f t="shared" si="0"/>
        <v>78.403127893816233</v>
      </c>
      <c r="R11" s="10">
        <f t="shared" si="1"/>
        <v>0.26005201040208042</v>
      </c>
      <c r="S11" s="4">
        <f t="shared" si="2"/>
        <v>11.523819322975616</v>
      </c>
      <c r="T11" s="4">
        <f t="shared" si="3"/>
        <v>0.80255170285008748</v>
      </c>
      <c r="U11" s="10">
        <f t="shared" si="4"/>
        <v>1.0289124395513941E-2</v>
      </c>
      <c r="V11" s="10">
        <f t="shared" si="5"/>
        <v>0.75110608087251773</v>
      </c>
      <c r="W11" s="10">
        <f t="shared" si="6"/>
        <v>2.3767877353637208</v>
      </c>
      <c r="X11" s="10">
        <f t="shared" si="7"/>
        <v>5.4120794320403336</v>
      </c>
      <c r="Y11" s="10">
        <f t="shared" si="8"/>
        <v>0.38069760263401586</v>
      </c>
      <c r="Z11" s="10">
        <f t="shared" si="9"/>
        <v>4.1156497582055765E-2</v>
      </c>
      <c r="AA11" s="10">
        <f t="shared" si="10"/>
        <v>2.0578248791027882E-2</v>
      </c>
      <c r="AB11" s="10">
        <f t="shared" si="11"/>
        <v>2.0578248791027886E-3</v>
      </c>
      <c r="AC11" s="10">
        <f t="shared" si="12"/>
        <v>1.0289124395513941E-2</v>
      </c>
      <c r="AD11" s="10">
        <v>0.33</v>
      </c>
      <c r="AE11" s="9" t="s">
        <v>63</v>
      </c>
      <c r="AF11" s="4">
        <v>1.88</v>
      </c>
      <c r="AG11" s="4">
        <v>99.07</v>
      </c>
      <c r="AH11" s="11">
        <f t="shared" si="22"/>
        <v>3071.5498938428877</v>
      </c>
      <c r="AI11" s="11">
        <f t="shared" si="23"/>
        <v>1558.2681207507485</v>
      </c>
      <c r="AJ11" s="11">
        <f t="shared" si="24"/>
        <v>174.55262787093136</v>
      </c>
      <c r="AK11" s="11">
        <v>157</v>
      </c>
      <c r="AL11" s="9">
        <v>10</v>
      </c>
      <c r="AM11" s="9">
        <v>8</v>
      </c>
      <c r="AN11" s="9">
        <v>23</v>
      </c>
      <c r="AO11" s="9">
        <v>20</v>
      </c>
      <c r="AP11" s="9">
        <v>1</v>
      </c>
      <c r="AQ11" s="9">
        <v>1</v>
      </c>
      <c r="AR11" s="9">
        <v>2</v>
      </c>
      <c r="AS11" s="9">
        <v>7</v>
      </c>
      <c r="AT11" s="4">
        <v>16.8</v>
      </c>
      <c r="AU11" s="9">
        <v>6.3</v>
      </c>
      <c r="AV11" s="9">
        <v>88.5</v>
      </c>
      <c r="AW11" s="9">
        <v>72.3</v>
      </c>
      <c r="AX11" s="10">
        <v>0.1</v>
      </c>
      <c r="AY11" s="4">
        <v>49.1</v>
      </c>
      <c r="AZ11" s="11">
        <v>111</v>
      </c>
      <c r="BA11" s="4">
        <v>14.6</v>
      </c>
      <c r="BB11" s="4">
        <v>61.6</v>
      </c>
      <c r="BC11" s="4">
        <v>13.35</v>
      </c>
      <c r="BD11" s="10">
        <v>1.99</v>
      </c>
      <c r="BE11" s="4">
        <v>12.85</v>
      </c>
      <c r="BF11" s="10">
        <v>1.97</v>
      </c>
      <c r="BG11" s="4">
        <v>12.2</v>
      </c>
      <c r="BH11" s="10">
        <v>2.74</v>
      </c>
      <c r="BI11" s="10">
        <v>7.86</v>
      </c>
      <c r="BJ11" s="9">
        <v>1.21</v>
      </c>
      <c r="BK11" s="10">
        <v>7.98</v>
      </c>
      <c r="BL11" s="10">
        <v>1.18</v>
      </c>
      <c r="BM11" s="9"/>
      <c r="BN11" s="10">
        <v>3.71</v>
      </c>
      <c r="BO11" s="10">
        <v>0.72</v>
      </c>
      <c r="BP11" s="4">
        <v>19.100000000000001</v>
      </c>
      <c r="BQ11" s="10">
        <v>1.3</v>
      </c>
      <c r="BR11" s="9">
        <v>307</v>
      </c>
      <c r="BS11" s="4">
        <v>8.5</v>
      </c>
      <c r="BT11" s="9" t="s">
        <v>58</v>
      </c>
      <c r="BU11" s="9">
        <v>7</v>
      </c>
      <c r="BV11" s="9">
        <v>1</v>
      </c>
      <c r="BW11" s="9" t="s">
        <v>59</v>
      </c>
      <c r="BX11" s="9">
        <v>0.1</v>
      </c>
      <c r="BY11" s="9">
        <v>0.01</v>
      </c>
      <c r="BZ11" s="9" t="s">
        <v>60</v>
      </c>
      <c r="CA11" s="12">
        <v>1.0999999999999999E-2</v>
      </c>
      <c r="CB11" s="9" t="s">
        <v>61</v>
      </c>
      <c r="CC11" s="9" t="s">
        <v>67</v>
      </c>
      <c r="CD11" s="9">
        <v>0.2</v>
      </c>
      <c r="CE11" s="9" t="s">
        <v>63</v>
      </c>
      <c r="CF11" s="9" t="s">
        <v>64</v>
      </c>
      <c r="CG11" s="11">
        <f t="shared" si="25"/>
        <v>60.016676265081152</v>
      </c>
      <c r="CH11" s="10">
        <f t="shared" si="26"/>
        <v>0.64320507621313994</v>
      </c>
      <c r="CI11" s="10">
        <f t="shared" si="13"/>
        <v>7.0342205323193921E-2</v>
      </c>
      <c r="CJ11" s="4">
        <f t="shared" si="14"/>
        <v>5.63</v>
      </c>
      <c r="CK11" s="4">
        <f t="shared" si="15"/>
        <v>1.2240663900414939</v>
      </c>
      <c r="CL11" s="4">
        <f t="shared" si="16"/>
        <v>4.2461964038727524</v>
      </c>
      <c r="CM11" s="4">
        <f t="shared" si="17"/>
        <v>14.692307692307693</v>
      </c>
      <c r="CN11" s="4">
        <f t="shared" si="18"/>
        <v>4.1798060552224445</v>
      </c>
      <c r="CO11" s="4">
        <f t="shared" si="19"/>
        <v>6.1528822055137846</v>
      </c>
      <c r="CP11" s="4">
        <f t="shared" si="20"/>
        <v>1.5288220551378444</v>
      </c>
      <c r="CQ11" s="10">
        <f t="shared" si="21"/>
        <v>0.46313742936414221</v>
      </c>
      <c r="CR11" s="4">
        <f t="shared" si="32"/>
        <v>2.875</v>
      </c>
      <c r="CS11" s="38">
        <f t="shared" si="27"/>
        <v>878.24271607745789</v>
      </c>
      <c r="CT11" s="4">
        <f t="shared" si="28"/>
        <v>45.036631707032164</v>
      </c>
      <c r="CU11" s="4">
        <f t="shared" si="29"/>
        <v>1.6021544271861998</v>
      </c>
      <c r="CV11" s="11">
        <f t="shared" si="30"/>
        <v>829.4786844470683</v>
      </c>
      <c r="CW11" s="11">
        <f t="shared" si="31"/>
        <v>783.51092333302029</v>
      </c>
    </row>
    <row r="12" spans="1:101" ht="14" customHeight="1">
      <c r="A12" s="3" t="s">
        <v>106</v>
      </c>
      <c r="B12" s="3" t="s">
        <v>93</v>
      </c>
      <c r="C12" s="3" t="s">
        <v>90</v>
      </c>
      <c r="D12" s="4">
        <v>67.7</v>
      </c>
      <c r="E12" s="9">
        <v>0.69</v>
      </c>
      <c r="F12" s="4">
        <v>14.85</v>
      </c>
      <c r="G12" s="4">
        <v>3.62</v>
      </c>
      <c r="H12" s="9">
        <v>0.05</v>
      </c>
      <c r="I12" s="9">
        <v>1.64</v>
      </c>
      <c r="J12" s="4">
        <v>5.28</v>
      </c>
      <c r="K12" s="10">
        <v>5.76</v>
      </c>
      <c r="L12" s="10">
        <v>0.41</v>
      </c>
      <c r="M12" s="9">
        <v>0.25</v>
      </c>
      <c r="N12" s="35">
        <v>0.02</v>
      </c>
      <c r="O12" s="35">
        <v>3.0000000000000001E-3</v>
      </c>
      <c r="P12" s="10">
        <v>0.02</v>
      </c>
      <c r="Q12" s="4">
        <f t="shared" si="0"/>
        <v>67.504237710639146</v>
      </c>
      <c r="R12" s="10">
        <f t="shared" si="1"/>
        <v>0.69013802760552112</v>
      </c>
      <c r="S12" s="4">
        <f t="shared" si="2"/>
        <v>14.807059527370624</v>
      </c>
      <c r="T12" s="4">
        <f t="shared" si="3"/>
        <v>3.6095323561671151</v>
      </c>
      <c r="U12" s="10">
        <f t="shared" si="4"/>
        <v>4.9855419284076177E-2</v>
      </c>
      <c r="V12" s="10">
        <f t="shared" si="5"/>
        <v>1.6352577525176986</v>
      </c>
      <c r="W12" s="10">
        <f t="shared" si="6"/>
        <v>5.2647322763984441</v>
      </c>
      <c r="X12" s="10">
        <f t="shared" si="7"/>
        <v>5.7433443015255756</v>
      </c>
      <c r="Y12" s="10">
        <f t="shared" si="8"/>
        <v>0.40881443812942464</v>
      </c>
      <c r="Z12" s="10">
        <f t="shared" si="9"/>
        <v>0.24927709642038087</v>
      </c>
      <c r="AA12" s="10">
        <f t="shared" si="10"/>
        <v>1.9942167713630471E-2</v>
      </c>
      <c r="AB12" s="10">
        <f t="shared" si="11"/>
        <v>2.9913251570445705E-3</v>
      </c>
      <c r="AC12" s="10">
        <f t="shared" si="12"/>
        <v>1.9942167713630471E-2</v>
      </c>
      <c r="AD12" s="10">
        <v>0.1</v>
      </c>
      <c r="AE12" s="9" t="s">
        <v>63</v>
      </c>
      <c r="AF12" s="4">
        <v>1.07</v>
      </c>
      <c r="AG12" s="4">
        <v>101.36</v>
      </c>
      <c r="AH12" s="11">
        <f t="shared" si="22"/>
        <v>3403.6093418259024</v>
      </c>
      <c r="AI12" s="11">
        <f t="shared" si="23"/>
        <v>4135.403858915447</v>
      </c>
      <c r="AJ12" s="11">
        <f t="shared" si="24"/>
        <v>1090.9539241933212</v>
      </c>
      <c r="AK12" s="11">
        <v>155.5</v>
      </c>
      <c r="AL12" s="9">
        <v>10</v>
      </c>
      <c r="AM12" s="9">
        <v>19</v>
      </c>
      <c r="AN12" s="9">
        <v>8</v>
      </c>
      <c r="AO12" s="9">
        <v>10</v>
      </c>
      <c r="AP12" s="9">
        <v>2</v>
      </c>
      <c r="AQ12" s="9" t="s">
        <v>65</v>
      </c>
      <c r="AR12" s="9">
        <v>6</v>
      </c>
      <c r="AS12" s="9">
        <v>26</v>
      </c>
      <c r="AT12" s="4">
        <v>22.5</v>
      </c>
      <c r="AU12" s="9">
        <v>4.0999999999999996</v>
      </c>
      <c r="AV12" s="9">
        <v>173.5</v>
      </c>
      <c r="AW12" s="9">
        <v>84.8</v>
      </c>
      <c r="AX12" s="10">
        <v>0.1</v>
      </c>
      <c r="AY12" s="4">
        <v>18.2</v>
      </c>
      <c r="AZ12" s="4">
        <v>58</v>
      </c>
      <c r="BA12" s="10">
        <v>8.94</v>
      </c>
      <c r="BB12" s="4">
        <v>41.5</v>
      </c>
      <c r="BC12" s="4">
        <v>11.2</v>
      </c>
      <c r="BD12" s="10">
        <v>2.2999999999999998</v>
      </c>
      <c r="BE12" s="4">
        <v>12.3</v>
      </c>
      <c r="BF12" s="10">
        <v>2.27</v>
      </c>
      <c r="BG12" s="4">
        <v>13.5</v>
      </c>
      <c r="BH12" s="10">
        <v>3.02</v>
      </c>
      <c r="BI12" s="10">
        <v>9.2200000000000006</v>
      </c>
      <c r="BJ12" s="9">
        <v>1.32</v>
      </c>
      <c r="BK12" s="10">
        <v>9.4</v>
      </c>
      <c r="BL12" s="10">
        <v>1.42</v>
      </c>
      <c r="BM12" s="9"/>
      <c r="BN12" s="10">
        <v>2.63</v>
      </c>
      <c r="BO12" s="10">
        <v>0.64</v>
      </c>
      <c r="BP12" s="4">
        <v>19</v>
      </c>
      <c r="BQ12" s="10">
        <v>1.1000000000000001</v>
      </c>
      <c r="BR12" s="9">
        <v>232</v>
      </c>
      <c r="BS12" s="4">
        <v>6.4</v>
      </c>
      <c r="BT12" s="9" t="s">
        <v>58</v>
      </c>
      <c r="BU12" s="9">
        <v>5</v>
      </c>
      <c r="BV12" s="9" t="s">
        <v>65</v>
      </c>
      <c r="BW12" s="9" t="s">
        <v>59</v>
      </c>
      <c r="BX12" s="9">
        <v>0.2</v>
      </c>
      <c r="BY12" s="9" t="s">
        <v>63</v>
      </c>
      <c r="BZ12" s="9" t="s">
        <v>60</v>
      </c>
      <c r="CA12" s="12">
        <v>1.7999999999999999E-2</v>
      </c>
      <c r="CB12" s="9" t="s">
        <v>61</v>
      </c>
      <c r="CC12" s="9" t="s">
        <v>67</v>
      </c>
      <c r="CD12" s="9">
        <v>0.3</v>
      </c>
      <c r="CE12" s="9" t="s">
        <v>63</v>
      </c>
      <c r="CF12" s="9" t="s">
        <v>64</v>
      </c>
      <c r="CG12" s="11">
        <f t="shared" si="25"/>
        <v>42.082968188828218</v>
      </c>
      <c r="CH12" s="10">
        <f t="shared" si="26"/>
        <v>0.57906292014870886</v>
      </c>
      <c r="CI12" s="10">
        <f t="shared" si="13"/>
        <v>7.1180555555555552E-2</v>
      </c>
      <c r="CJ12" s="4">
        <f t="shared" si="14"/>
        <v>6.17</v>
      </c>
      <c r="CK12" s="4">
        <f t="shared" si="15"/>
        <v>2.045990566037736</v>
      </c>
      <c r="CL12" s="4">
        <f t="shared" si="16"/>
        <v>2.7358490566037736</v>
      </c>
      <c r="CM12" s="4">
        <f t="shared" si="17"/>
        <v>17.27272727272727</v>
      </c>
      <c r="CN12" s="4">
        <f t="shared" si="18"/>
        <v>1.3152886255498699</v>
      </c>
      <c r="CO12" s="4">
        <f t="shared" si="19"/>
        <v>1.9361702127659572</v>
      </c>
      <c r="CP12" s="4">
        <f t="shared" si="20"/>
        <v>1.4361702127659575</v>
      </c>
      <c r="CQ12" s="10">
        <f t="shared" si="21"/>
        <v>0.59733129691363362</v>
      </c>
      <c r="CR12" s="4">
        <f t="shared" si="32"/>
        <v>0.42105263157894735</v>
      </c>
      <c r="CS12" s="38">
        <f t="shared" si="27"/>
        <v>981.88724880236384</v>
      </c>
      <c r="CT12" s="4">
        <f t="shared" si="28"/>
        <v>48.49561670271077</v>
      </c>
      <c r="CU12" s="4">
        <f t="shared" si="29"/>
        <v>2.3710701026742274</v>
      </c>
      <c r="CV12" s="11">
        <f t="shared" si="30"/>
        <v>747.98484575138218</v>
      </c>
      <c r="CW12" s="11">
        <f t="shared" si="31"/>
        <v>668.1767749492833</v>
      </c>
    </row>
    <row r="13" spans="1:101" ht="14" customHeight="1">
      <c r="A13" s="5" t="s">
        <v>107</v>
      </c>
      <c r="B13" s="3" t="s">
        <v>93</v>
      </c>
      <c r="C13" s="18" t="s">
        <v>124</v>
      </c>
      <c r="D13" s="15">
        <v>48.5</v>
      </c>
      <c r="E13" s="6">
        <v>0.98</v>
      </c>
      <c r="F13" s="15">
        <v>20.3</v>
      </c>
      <c r="G13" s="15">
        <v>9.93</v>
      </c>
      <c r="H13" s="6">
        <v>0.13</v>
      </c>
      <c r="I13" s="6">
        <v>4.29</v>
      </c>
      <c r="J13" s="15">
        <v>11.85</v>
      </c>
      <c r="K13" s="16">
        <v>2.4700000000000002</v>
      </c>
      <c r="L13" s="16">
        <v>0.2</v>
      </c>
      <c r="M13" s="6">
        <v>7.0000000000000007E-2</v>
      </c>
      <c r="N13" s="43">
        <v>0.01</v>
      </c>
      <c r="O13" s="43">
        <v>4.0000000000000001E-3</v>
      </c>
      <c r="P13" s="20">
        <v>0.03</v>
      </c>
      <c r="Q13" s="4">
        <f t="shared" si="0"/>
        <v>49.108950992304578</v>
      </c>
      <c r="R13" s="10">
        <f t="shared" si="1"/>
        <v>0.98019603920784171</v>
      </c>
      <c r="S13" s="4">
        <f t="shared" si="2"/>
        <v>20.554880518428515</v>
      </c>
      <c r="T13" s="4">
        <f t="shared" si="3"/>
        <v>10.054678007290402</v>
      </c>
      <c r="U13" s="10">
        <f t="shared" si="4"/>
        <v>0.13163223977318753</v>
      </c>
      <c r="V13" s="10">
        <f t="shared" si="5"/>
        <v>4.3438639125151886</v>
      </c>
      <c r="W13" s="10">
        <f t="shared" si="6"/>
        <v>11.998784933171326</v>
      </c>
      <c r="X13" s="10">
        <f t="shared" si="7"/>
        <v>2.5010125556905636</v>
      </c>
      <c r="Y13" s="10">
        <f t="shared" si="8"/>
        <v>0.20251113811259622</v>
      </c>
      <c r="Z13" s="10">
        <f t="shared" si="9"/>
        <v>7.0878898339408677E-2</v>
      </c>
      <c r="AA13" s="10">
        <f t="shared" si="10"/>
        <v>1.012555690562981E-2</v>
      </c>
      <c r="AB13" s="10">
        <f t="shared" si="11"/>
        <v>4.0502227622519248E-3</v>
      </c>
      <c r="AC13" s="10">
        <f t="shared" si="12"/>
        <v>3.0376670716889431E-2</v>
      </c>
      <c r="AD13" s="20">
        <v>0.03</v>
      </c>
      <c r="AE13" s="13">
        <v>0.01</v>
      </c>
      <c r="AF13" s="19">
        <v>2.4300000000000002</v>
      </c>
      <c r="AG13" s="19">
        <v>101.19</v>
      </c>
      <c r="AH13" s="14">
        <f t="shared" si="22"/>
        <v>1660.2972399150742</v>
      </c>
      <c r="AI13" s="14">
        <f t="shared" si="23"/>
        <v>5873.472147445128</v>
      </c>
      <c r="AJ13" s="14">
        <f t="shared" si="24"/>
        <v>305.46709877412991</v>
      </c>
      <c r="AK13" s="14">
        <v>68.8</v>
      </c>
      <c r="AL13" s="13">
        <v>10</v>
      </c>
      <c r="AM13" s="13">
        <v>22</v>
      </c>
      <c r="AN13" s="13">
        <v>592</v>
      </c>
      <c r="AO13" s="13">
        <v>40</v>
      </c>
      <c r="AP13" s="13">
        <v>31</v>
      </c>
      <c r="AQ13" s="13">
        <v>58</v>
      </c>
      <c r="AR13" s="13">
        <v>23</v>
      </c>
      <c r="AS13" s="13">
        <v>55</v>
      </c>
      <c r="AT13" s="19">
        <v>21.2</v>
      </c>
      <c r="AU13" s="13">
        <v>4.5999999999999996</v>
      </c>
      <c r="AV13" s="13">
        <v>268</v>
      </c>
      <c r="AW13" s="13">
        <v>9.6</v>
      </c>
      <c r="AX13" s="13">
        <v>0.16</v>
      </c>
      <c r="AY13" s="19">
        <v>4.0999999999999996</v>
      </c>
      <c r="AZ13" s="20">
        <v>9.3000000000000007</v>
      </c>
      <c r="BA13" s="13">
        <v>1.22</v>
      </c>
      <c r="BB13" s="13">
        <v>5.9</v>
      </c>
      <c r="BC13" s="13">
        <v>1.45</v>
      </c>
      <c r="BD13" s="13">
        <v>0.61</v>
      </c>
      <c r="BE13" s="13">
        <v>1.74</v>
      </c>
      <c r="BF13" s="13">
        <v>0.28000000000000003</v>
      </c>
      <c r="BG13" s="13">
        <v>1.59</v>
      </c>
      <c r="BH13" s="13">
        <v>0.4</v>
      </c>
      <c r="BI13" s="13">
        <v>0.96</v>
      </c>
      <c r="BJ13" s="13">
        <v>0.16</v>
      </c>
      <c r="BK13" s="13">
        <v>1.08</v>
      </c>
      <c r="BL13" s="13">
        <v>0.15</v>
      </c>
      <c r="BM13" s="6"/>
      <c r="BN13" s="13">
        <v>0.42</v>
      </c>
      <c r="BO13" s="13">
        <v>0.12</v>
      </c>
      <c r="BP13" s="19">
        <v>2.2000000000000002</v>
      </c>
      <c r="BQ13" s="20">
        <v>0.2</v>
      </c>
      <c r="BR13" s="13">
        <v>39</v>
      </c>
      <c r="BS13" s="19">
        <v>1</v>
      </c>
      <c r="BT13" s="13" t="s">
        <v>58</v>
      </c>
      <c r="BU13" s="13">
        <v>1</v>
      </c>
      <c r="BV13" s="13" t="s">
        <v>65</v>
      </c>
      <c r="BW13" s="13" t="s">
        <v>59</v>
      </c>
      <c r="BX13" s="13">
        <v>0.1</v>
      </c>
      <c r="BY13" s="13" t="s">
        <v>63</v>
      </c>
      <c r="BZ13" s="13" t="s">
        <v>60</v>
      </c>
      <c r="CA13" s="21" t="s">
        <v>60</v>
      </c>
      <c r="CB13" s="13" t="s">
        <v>61</v>
      </c>
      <c r="CC13" s="13" t="s">
        <v>67</v>
      </c>
      <c r="CD13" s="13">
        <v>0.3</v>
      </c>
      <c r="CE13" s="13">
        <v>0.02</v>
      </c>
      <c r="CF13" s="13" t="s">
        <v>64</v>
      </c>
      <c r="CG13" s="14">
        <f t="shared" si="25"/>
        <v>40.929891976548852</v>
      </c>
      <c r="CH13" s="16">
        <f t="shared" si="26"/>
        <v>0.59830141020746341</v>
      </c>
      <c r="CI13" s="10">
        <f t="shared" si="13"/>
        <v>8.0971659919028341E-2</v>
      </c>
      <c r="CJ13" s="4">
        <f t="shared" si="14"/>
        <v>2.6700000000000004</v>
      </c>
      <c r="CK13" s="4">
        <f t="shared" si="15"/>
        <v>27.916666666666668</v>
      </c>
      <c r="CL13" s="4">
        <f t="shared" si="16"/>
        <v>4.0625</v>
      </c>
      <c r="CM13" s="4">
        <f t="shared" si="17"/>
        <v>11</v>
      </c>
      <c r="CN13" s="4">
        <f t="shared" si="18"/>
        <v>2.5789185810282858</v>
      </c>
      <c r="CO13" s="4">
        <f t="shared" si="19"/>
        <v>3.7962962962962958</v>
      </c>
      <c r="CP13" s="4">
        <f t="shared" si="20"/>
        <v>1.4722222222222221</v>
      </c>
      <c r="CQ13" s="10">
        <f t="shared" si="21"/>
        <v>1.1706315124838362</v>
      </c>
      <c r="CR13" s="4">
        <f t="shared" si="32"/>
        <v>26.90909090909091</v>
      </c>
      <c r="CS13" s="38">
        <f t="shared" si="27"/>
        <v>586.71571401600374</v>
      </c>
      <c r="CT13" s="4">
        <f t="shared" si="28"/>
        <v>54.3182265336889</v>
      </c>
      <c r="CU13" s="4">
        <f t="shared" si="29"/>
        <v>4.222907923616388</v>
      </c>
      <c r="CV13" s="11">
        <f t="shared" si="30"/>
        <v>533.59204737079131</v>
      </c>
      <c r="CW13" s="11">
        <f t="shared" si="31"/>
        <v>415.90609280483568</v>
      </c>
    </row>
    <row r="14" spans="1:101" s="3" customFormat="1" ht="14" customHeight="1">
      <c r="A14" s="3" t="s">
        <v>126</v>
      </c>
      <c r="B14" s="3" t="s">
        <v>128</v>
      </c>
      <c r="C14" s="2" t="s">
        <v>87</v>
      </c>
      <c r="D14" s="9">
        <v>74.900000000000006</v>
      </c>
      <c r="E14" s="9">
        <v>0.13</v>
      </c>
      <c r="F14" s="4">
        <v>12.95</v>
      </c>
      <c r="G14" s="4">
        <v>3.24</v>
      </c>
      <c r="H14" s="9">
        <v>0.05</v>
      </c>
      <c r="I14" s="9">
        <v>0.2</v>
      </c>
      <c r="J14" s="4">
        <v>1.92</v>
      </c>
      <c r="K14" s="9">
        <v>4.4000000000000004</v>
      </c>
      <c r="L14" s="9">
        <v>0.79</v>
      </c>
      <c r="M14" s="9">
        <v>0.03</v>
      </c>
      <c r="N14" s="36">
        <v>0.04</v>
      </c>
      <c r="O14" s="36">
        <v>3.0000000000000001E-3</v>
      </c>
      <c r="P14" s="10">
        <v>0.01</v>
      </c>
      <c r="Q14" s="4">
        <f t="shared" si="0"/>
        <v>75.917291708899256</v>
      </c>
      <c r="R14" s="10">
        <f t="shared" si="1"/>
        <v>0.13002600520104021</v>
      </c>
      <c r="S14" s="4">
        <f t="shared" si="2"/>
        <v>13.125886884248935</v>
      </c>
      <c r="T14" s="4">
        <f t="shared" si="3"/>
        <v>3.2840056760591927</v>
      </c>
      <c r="U14" s="10">
        <f t="shared" si="4"/>
        <v>5.0679099939185075E-2</v>
      </c>
      <c r="V14" s="10">
        <f t="shared" si="5"/>
        <v>0.2027163997567403</v>
      </c>
      <c r="W14" s="10">
        <f t="shared" si="6"/>
        <v>1.9460774376647068</v>
      </c>
      <c r="X14" s="10">
        <f t="shared" si="7"/>
        <v>4.4597607946482869</v>
      </c>
      <c r="Y14" s="10">
        <f t="shared" si="8"/>
        <v>0.80072977903912412</v>
      </c>
      <c r="Z14" s="10">
        <f t="shared" si="9"/>
        <v>3.0407459963511043E-2</v>
      </c>
      <c r="AA14" s="10">
        <f t="shared" si="10"/>
        <v>4.0543279951348057E-2</v>
      </c>
      <c r="AB14" s="10">
        <f t="shared" si="11"/>
        <v>3.0407459963511046E-3</v>
      </c>
      <c r="AC14" s="10">
        <f t="shared" si="12"/>
        <v>1.0135819987837014E-2</v>
      </c>
      <c r="AD14" s="10">
        <v>0.02</v>
      </c>
      <c r="AE14" s="10">
        <v>0.12</v>
      </c>
      <c r="AF14" s="4">
        <v>1.02</v>
      </c>
      <c r="AG14" s="4">
        <v>99.68</v>
      </c>
      <c r="AH14" s="11">
        <f t="shared" si="22"/>
        <v>6558.1740976645442</v>
      </c>
      <c r="AI14" s="11">
        <f t="shared" si="23"/>
        <v>779.13406037537425</v>
      </c>
      <c r="AJ14" s="11">
        <f t="shared" si="24"/>
        <v>130.91447090319852</v>
      </c>
      <c r="AK14" s="11">
        <v>169.07142857142901</v>
      </c>
      <c r="AL14" s="23">
        <v>10</v>
      </c>
      <c r="AM14" s="23">
        <v>5</v>
      </c>
      <c r="AN14" s="23">
        <v>5</v>
      </c>
      <c r="AO14" s="23">
        <v>20</v>
      </c>
      <c r="AP14" s="23">
        <v>2</v>
      </c>
      <c r="AQ14" s="23" t="s">
        <v>65</v>
      </c>
      <c r="AR14" s="11">
        <v>718</v>
      </c>
      <c r="AS14" s="23">
        <v>82</v>
      </c>
      <c r="AT14" s="24">
        <v>18.7</v>
      </c>
      <c r="AU14" s="4">
        <v>35.700000000000003</v>
      </c>
      <c r="AV14" s="11">
        <v>130</v>
      </c>
      <c r="AW14" s="4">
        <v>50.9</v>
      </c>
      <c r="AX14" s="4">
        <v>0.35</v>
      </c>
      <c r="AY14" s="4">
        <v>18</v>
      </c>
      <c r="AZ14" s="4">
        <v>40.799999999999997</v>
      </c>
      <c r="BA14" s="4">
        <v>5.36</v>
      </c>
      <c r="BB14" s="4">
        <v>23.6</v>
      </c>
      <c r="BC14" s="4">
        <v>6.24</v>
      </c>
      <c r="BD14" s="4">
        <v>1.3</v>
      </c>
      <c r="BE14" s="4">
        <v>6.68</v>
      </c>
      <c r="BF14" s="4">
        <v>1.1399999999999999</v>
      </c>
      <c r="BG14" s="4">
        <v>7.69</v>
      </c>
      <c r="BH14" s="4">
        <v>1.86</v>
      </c>
      <c r="BI14" s="4">
        <v>5.78</v>
      </c>
      <c r="BJ14" s="4">
        <v>0.94</v>
      </c>
      <c r="BK14" s="4">
        <v>5.97</v>
      </c>
      <c r="BL14" s="4">
        <v>0.87</v>
      </c>
      <c r="BM14" s="9">
        <v>2</v>
      </c>
      <c r="BN14" s="10">
        <v>2.31</v>
      </c>
      <c r="BO14" s="10">
        <v>0.6</v>
      </c>
      <c r="BP14" s="4">
        <v>11</v>
      </c>
      <c r="BQ14" s="10">
        <v>0.8</v>
      </c>
      <c r="BR14" s="9">
        <v>185</v>
      </c>
      <c r="BS14" s="4">
        <v>5.3</v>
      </c>
      <c r="BT14" s="9" t="s">
        <v>58</v>
      </c>
      <c r="BU14" s="9">
        <v>6</v>
      </c>
      <c r="BV14" s="9">
        <v>1</v>
      </c>
      <c r="BW14" s="9">
        <v>1.4</v>
      </c>
      <c r="BX14" s="9">
        <v>0.2</v>
      </c>
      <c r="BY14" s="9">
        <v>4.47</v>
      </c>
      <c r="BZ14" s="9" t="s">
        <v>60</v>
      </c>
      <c r="CA14" s="12">
        <v>4.8000000000000001E-2</v>
      </c>
      <c r="CB14" s="9">
        <v>1E-3</v>
      </c>
      <c r="CC14" s="9">
        <v>0.05</v>
      </c>
      <c r="CD14" s="9">
        <v>0.4</v>
      </c>
      <c r="CE14" s="9">
        <v>0.35</v>
      </c>
      <c r="CF14" s="9">
        <v>0.02</v>
      </c>
      <c r="CG14" s="11">
        <f t="shared" si="25"/>
        <v>9.0084644546334314</v>
      </c>
      <c r="CH14" s="10">
        <f t="shared" si="26"/>
        <v>0.8508702120346332</v>
      </c>
      <c r="CI14" s="10">
        <f t="shared" si="13"/>
        <v>0.17954545454545454</v>
      </c>
      <c r="CJ14" s="4">
        <f t="shared" si="14"/>
        <v>5.19</v>
      </c>
      <c r="CK14" s="4">
        <f>AV14/AW14</f>
        <v>2.5540275049115913</v>
      </c>
      <c r="CL14" s="4">
        <f>BR14/AW14</f>
        <v>3.6345776031434185</v>
      </c>
      <c r="CM14" s="4">
        <f t="shared" si="17"/>
        <v>13.75</v>
      </c>
      <c r="CN14" s="4">
        <f>(AY14/0.237)/(BK14/0.161)</f>
        <v>2.0482157623560844</v>
      </c>
      <c r="CO14" s="4">
        <f>AY14/BK14</f>
        <v>3.0150753768844223</v>
      </c>
      <c r="CP14" s="4">
        <f>BG14/BK14</f>
        <v>1.2881072026800671</v>
      </c>
      <c r="CQ14" s="4">
        <f>(BD14/0.0563)/(((BC14/0.148)*(BE14/0.199))^(1/2))</f>
        <v>0.61377872016699575</v>
      </c>
      <c r="CR14" s="4">
        <f t="shared" si="32"/>
        <v>1</v>
      </c>
      <c r="CS14" s="39">
        <f t="shared" si="27"/>
        <v>841.84249308022902</v>
      </c>
      <c r="CT14" s="4">
        <f t="shared" si="28"/>
        <v>46.548773355052418</v>
      </c>
      <c r="CU14" s="4">
        <f t="shared" si="29"/>
        <v>1.2927664569071913</v>
      </c>
      <c r="CV14" s="11">
        <f t="shared" si="30"/>
        <v>806.99627872440271</v>
      </c>
      <c r="CW14" s="11">
        <f t="shared" si="31"/>
        <v>767.45452972340183</v>
      </c>
    </row>
    <row r="15" spans="1:101" s="3" customFormat="1" ht="14" customHeight="1">
      <c r="A15" s="3" t="s">
        <v>127</v>
      </c>
      <c r="B15" s="3" t="s">
        <v>128</v>
      </c>
      <c r="C15" s="2" t="s">
        <v>87</v>
      </c>
      <c r="D15" s="9">
        <v>76.099999999999994</v>
      </c>
      <c r="E15" s="9">
        <v>0.14000000000000001</v>
      </c>
      <c r="F15" s="4">
        <v>13.2</v>
      </c>
      <c r="G15" s="4">
        <v>1.93</v>
      </c>
      <c r="H15" s="9">
        <v>0.03</v>
      </c>
      <c r="I15" s="9">
        <v>0.28000000000000003</v>
      </c>
      <c r="J15" s="4">
        <v>1.9</v>
      </c>
      <c r="K15" s="9">
        <v>4.8099999999999996</v>
      </c>
      <c r="L15" s="9">
        <v>0.74</v>
      </c>
      <c r="M15" s="9">
        <v>0.03</v>
      </c>
      <c r="N15" s="36">
        <v>0.03</v>
      </c>
      <c r="O15" s="36">
        <v>2E-3</v>
      </c>
      <c r="P15" s="10">
        <v>0.01</v>
      </c>
      <c r="Q15" s="4">
        <f t="shared" si="0"/>
        <v>76.713709677419345</v>
      </c>
      <c r="R15" s="10">
        <f t="shared" si="1"/>
        <v>0.14002800560112025</v>
      </c>
      <c r="S15" s="4">
        <f t="shared" si="2"/>
        <v>13.306451612903226</v>
      </c>
      <c r="T15" s="4">
        <f t="shared" si="3"/>
        <v>1.9455645161290323</v>
      </c>
      <c r="U15" s="10">
        <f t="shared" si="4"/>
        <v>3.0241935483870965E-2</v>
      </c>
      <c r="V15" s="10">
        <f t="shared" si="5"/>
        <v>0.28225806451612906</v>
      </c>
      <c r="W15" s="10">
        <f t="shared" si="6"/>
        <v>1.9153225806451613</v>
      </c>
      <c r="X15" s="10">
        <f t="shared" si="7"/>
        <v>4.8487903225806441</v>
      </c>
      <c r="Y15" s="10">
        <f t="shared" si="8"/>
        <v>0.74596774193548387</v>
      </c>
      <c r="Z15" s="10">
        <f t="shared" si="9"/>
        <v>3.0241935483870965E-2</v>
      </c>
      <c r="AA15" s="10">
        <f t="shared" si="10"/>
        <v>3.0241935483870965E-2</v>
      </c>
      <c r="AB15" s="10">
        <f t="shared" si="11"/>
        <v>2.0161290322580645E-3</v>
      </c>
      <c r="AC15" s="10">
        <f t="shared" si="12"/>
        <v>1.0080645161290322E-2</v>
      </c>
      <c r="AD15" s="10">
        <v>0.05</v>
      </c>
      <c r="AE15" s="10">
        <v>0.01</v>
      </c>
      <c r="AF15" s="4">
        <v>1.07</v>
      </c>
      <c r="AG15" s="4">
        <v>100.27</v>
      </c>
      <c r="AH15" s="11">
        <f t="shared" si="22"/>
        <v>6143.0997876857755</v>
      </c>
      <c r="AI15" s="11">
        <f t="shared" si="23"/>
        <v>839.06744963501842</v>
      </c>
      <c r="AJ15" s="11">
        <f t="shared" si="24"/>
        <v>130.91447090319852</v>
      </c>
      <c r="AK15" s="11">
        <v>158</v>
      </c>
      <c r="AL15" s="23">
        <v>10</v>
      </c>
      <c r="AM15" s="23">
        <v>6</v>
      </c>
      <c r="AN15" s="23">
        <v>5</v>
      </c>
      <c r="AO15" s="23">
        <v>20</v>
      </c>
      <c r="AP15" s="23">
        <v>2</v>
      </c>
      <c r="AQ15" s="23" t="s">
        <v>65</v>
      </c>
      <c r="AR15" s="11">
        <v>9</v>
      </c>
      <c r="AS15" s="23">
        <v>38</v>
      </c>
      <c r="AT15" s="24">
        <v>18.600000000000001</v>
      </c>
      <c r="AU15" s="4">
        <v>30.7</v>
      </c>
      <c r="AV15" s="11">
        <v>122</v>
      </c>
      <c r="AW15" s="4">
        <v>60.2</v>
      </c>
      <c r="AX15" s="4">
        <v>0.22</v>
      </c>
      <c r="AY15" s="4">
        <v>23.7</v>
      </c>
      <c r="AZ15" s="4">
        <v>52.5</v>
      </c>
      <c r="BA15" s="4">
        <v>6.82</v>
      </c>
      <c r="BB15" s="4">
        <v>29.5</v>
      </c>
      <c r="BC15" s="4">
        <v>8.09</v>
      </c>
      <c r="BD15" s="4">
        <v>1.38</v>
      </c>
      <c r="BE15" s="4">
        <v>8.65</v>
      </c>
      <c r="BF15" s="4">
        <v>1.52</v>
      </c>
      <c r="BG15" s="4">
        <v>9.64</v>
      </c>
      <c r="BH15" s="4">
        <v>2.09</v>
      </c>
      <c r="BI15" s="4">
        <v>7.03</v>
      </c>
      <c r="BJ15" s="4">
        <v>1.08</v>
      </c>
      <c r="BK15" s="4">
        <v>7.28</v>
      </c>
      <c r="BL15" s="4">
        <v>1.0900000000000001</v>
      </c>
      <c r="BM15" s="9">
        <v>6</v>
      </c>
      <c r="BN15" s="10">
        <v>3.24</v>
      </c>
      <c r="BO15" s="10">
        <v>0.71</v>
      </c>
      <c r="BP15" s="4">
        <v>10.9</v>
      </c>
      <c r="BQ15" s="10">
        <v>0.9</v>
      </c>
      <c r="BR15" s="9">
        <v>191</v>
      </c>
      <c r="BS15" s="4">
        <v>5.8</v>
      </c>
      <c r="BT15" s="9" t="s">
        <v>58</v>
      </c>
      <c r="BU15" s="9">
        <v>3</v>
      </c>
      <c r="BV15" s="9">
        <v>1</v>
      </c>
      <c r="BW15" s="9" t="s">
        <v>59</v>
      </c>
      <c r="BX15" s="9">
        <v>0.2</v>
      </c>
      <c r="BY15" s="9">
        <v>24.4</v>
      </c>
      <c r="BZ15" s="9" t="s">
        <v>60</v>
      </c>
      <c r="CA15" s="12">
        <v>8.9999999999999993E-3</v>
      </c>
      <c r="CB15" s="9" t="s">
        <v>61</v>
      </c>
      <c r="CC15" s="9" t="s">
        <v>67</v>
      </c>
      <c r="CD15" s="9" t="s">
        <v>62</v>
      </c>
      <c r="CE15" s="9">
        <v>1.27</v>
      </c>
      <c r="CF15" s="9" t="s">
        <v>64</v>
      </c>
      <c r="CG15" s="11">
        <f t="shared" si="25"/>
        <v>18.876172762073619</v>
      </c>
      <c r="CH15" s="10">
        <f t="shared" si="26"/>
        <v>0.8256716721866949</v>
      </c>
      <c r="CI15" s="10">
        <f t="shared" si="13"/>
        <v>0.15384615384615385</v>
      </c>
      <c r="CJ15" s="4">
        <f t="shared" si="14"/>
        <v>5.55</v>
      </c>
      <c r="CK15" s="4">
        <f>AV15/AW15</f>
        <v>2.0265780730897007</v>
      </c>
      <c r="CL15" s="4">
        <f>BR15/AW15</f>
        <v>3.1727574750830563</v>
      </c>
      <c r="CM15" s="4">
        <f t="shared" si="17"/>
        <v>12.111111111111111</v>
      </c>
      <c r="CN15" s="4">
        <f>(AY15/0.237)/(BK15/0.161)</f>
        <v>2.2115384615384612</v>
      </c>
      <c r="CO15" s="4">
        <f>AY15/BK15</f>
        <v>3.2554945054945055</v>
      </c>
      <c r="CP15" s="4">
        <f>BG15/BK15</f>
        <v>1.3241758241758241</v>
      </c>
      <c r="CQ15" s="4">
        <f>(BD15/0.0563)/(((BC15/0.148)*(BE15/0.199))^(1/2))</f>
        <v>0.50285847377391402</v>
      </c>
      <c r="CR15" s="4">
        <f t="shared" si="32"/>
        <v>0.83333333333333337</v>
      </c>
      <c r="CS15" s="33">
        <f t="shared" si="27"/>
        <v>852.95515280061807</v>
      </c>
      <c r="CT15" s="4">
        <f t="shared" si="28"/>
        <v>46.335995448404475</v>
      </c>
      <c r="CU15" s="4">
        <f t="shared" si="29"/>
        <v>1.2862188540191126</v>
      </c>
      <c r="CV15" s="11">
        <f t="shared" si="30"/>
        <v>810.39703676213855</v>
      </c>
      <c r="CW15" s="11">
        <f t="shared" si="31"/>
        <v>771.70477960592041</v>
      </c>
    </row>
    <row r="16" spans="1:101" ht="14" customHeight="1">
      <c r="A16" s="3" t="s">
        <v>109</v>
      </c>
      <c r="B16" s="3" t="s">
        <v>94</v>
      </c>
      <c r="C16" s="3" t="s">
        <v>96</v>
      </c>
      <c r="D16" s="4">
        <v>63.2</v>
      </c>
      <c r="E16" s="9">
        <v>0.56999999999999995</v>
      </c>
      <c r="F16" s="4">
        <v>17.55</v>
      </c>
      <c r="G16" s="4">
        <v>4.8499999999999996</v>
      </c>
      <c r="H16" s="9">
        <v>0.06</v>
      </c>
      <c r="I16" s="9">
        <v>2.77</v>
      </c>
      <c r="J16" s="4">
        <v>5.23</v>
      </c>
      <c r="K16" s="10">
        <v>4.5</v>
      </c>
      <c r="L16" s="10">
        <v>0.95</v>
      </c>
      <c r="M16" s="9">
        <v>0.14000000000000001</v>
      </c>
      <c r="N16" s="35">
        <v>0.03</v>
      </c>
      <c r="O16" s="35">
        <v>5.0000000000000001E-3</v>
      </c>
      <c r="P16" s="10">
        <v>0.04</v>
      </c>
      <c r="Q16" s="4">
        <f t="shared" si="0"/>
        <v>63.263263263263269</v>
      </c>
      <c r="R16" s="10">
        <f t="shared" si="1"/>
        <v>0.57011402280456092</v>
      </c>
      <c r="S16" s="4">
        <f t="shared" si="2"/>
        <v>17.567567567567568</v>
      </c>
      <c r="T16" s="4">
        <f t="shared" si="3"/>
        <v>4.8548548548548549</v>
      </c>
      <c r="U16" s="10">
        <f t="shared" si="4"/>
        <v>6.0060060060060066E-2</v>
      </c>
      <c r="V16" s="10">
        <f t="shared" si="5"/>
        <v>2.7727727727727731</v>
      </c>
      <c r="W16" s="10">
        <f t="shared" si="6"/>
        <v>5.235235235235236</v>
      </c>
      <c r="X16" s="10">
        <f t="shared" si="7"/>
        <v>4.5045045045045047</v>
      </c>
      <c r="Y16" s="10">
        <f t="shared" si="8"/>
        <v>0.95095095095095106</v>
      </c>
      <c r="Z16" s="10">
        <f t="shared" si="9"/>
        <v>0.14014014014014017</v>
      </c>
      <c r="AA16" s="10">
        <f t="shared" si="10"/>
        <v>3.0030030030030033E-2</v>
      </c>
      <c r="AB16" s="10">
        <f t="shared" si="11"/>
        <v>5.0050050050050058E-3</v>
      </c>
      <c r="AC16" s="10">
        <f t="shared" si="12"/>
        <v>4.0040040040040047E-2</v>
      </c>
      <c r="AD16" s="10">
        <v>0.01</v>
      </c>
      <c r="AE16" s="9">
        <v>0.01</v>
      </c>
      <c r="AF16" s="4">
        <v>1.92</v>
      </c>
      <c r="AG16" s="4">
        <v>101.82</v>
      </c>
      <c r="AH16" s="11">
        <f t="shared" si="22"/>
        <v>7886.411889596603</v>
      </c>
      <c r="AI16" s="11">
        <f t="shared" si="23"/>
        <v>3416.2031877997169</v>
      </c>
      <c r="AJ16" s="11">
        <f t="shared" si="24"/>
        <v>610.93419754825982</v>
      </c>
      <c r="AK16" s="11">
        <v>279</v>
      </c>
      <c r="AL16" s="9">
        <v>20</v>
      </c>
      <c r="AM16" s="9">
        <v>8</v>
      </c>
      <c r="AN16" s="9">
        <v>97</v>
      </c>
      <c r="AO16" s="9">
        <v>40</v>
      </c>
      <c r="AP16" s="9">
        <v>14</v>
      </c>
      <c r="AQ16" s="11">
        <v>32</v>
      </c>
      <c r="AR16" s="9">
        <v>48</v>
      </c>
      <c r="AS16" s="9">
        <v>68</v>
      </c>
      <c r="AT16" s="4">
        <v>21.1</v>
      </c>
      <c r="AU16" s="4">
        <v>26.4</v>
      </c>
      <c r="AV16" s="11">
        <v>350</v>
      </c>
      <c r="AW16" s="9">
        <v>8.5</v>
      </c>
      <c r="AX16" s="17">
        <v>1.23</v>
      </c>
      <c r="AY16" s="4">
        <v>11</v>
      </c>
      <c r="AZ16" s="4">
        <v>23.2</v>
      </c>
      <c r="BA16" s="10">
        <v>2.85</v>
      </c>
      <c r="BB16" s="10">
        <v>11.8</v>
      </c>
      <c r="BC16" s="10">
        <v>2.4700000000000002</v>
      </c>
      <c r="BD16" s="10">
        <v>0.7</v>
      </c>
      <c r="BE16" s="10">
        <v>1.99</v>
      </c>
      <c r="BF16" s="10">
        <v>0.27</v>
      </c>
      <c r="BG16" s="10">
        <v>1.53</v>
      </c>
      <c r="BH16" s="10">
        <v>0.33</v>
      </c>
      <c r="BI16" s="10">
        <v>0.9</v>
      </c>
      <c r="BJ16" s="10">
        <v>0.13</v>
      </c>
      <c r="BK16" s="10">
        <v>0.72</v>
      </c>
      <c r="BL16" s="10">
        <v>0.14000000000000001</v>
      </c>
      <c r="BM16" s="9"/>
      <c r="BN16" s="10">
        <v>1.61</v>
      </c>
      <c r="BO16" s="10">
        <v>0.44</v>
      </c>
      <c r="BP16" s="4">
        <v>5.7</v>
      </c>
      <c r="BQ16" s="10">
        <v>0.5</v>
      </c>
      <c r="BR16" s="11">
        <v>122</v>
      </c>
      <c r="BS16" s="4">
        <v>3.4</v>
      </c>
      <c r="BT16" s="9" t="s">
        <v>58</v>
      </c>
      <c r="BU16" s="9">
        <v>1</v>
      </c>
      <c r="BV16" s="9">
        <v>1</v>
      </c>
      <c r="BW16" s="9" t="s">
        <v>59</v>
      </c>
      <c r="BX16" s="9" t="s">
        <v>68</v>
      </c>
      <c r="BY16" s="9">
        <v>0.02</v>
      </c>
      <c r="BZ16" s="9" t="s">
        <v>60</v>
      </c>
      <c r="CA16" s="12">
        <v>6.0000000000000001E-3</v>
      </c>
      <c r="CB16" s="9">
        <v>1E-3</v>
      </c>
      <c r="CC16" s="9" t="s">
        <v>67</v>
      </c>
      <c r="CD16" s="9" t="s">
        <v>62</v>
      </c>
      <c r="CE16" s="9">
        <v>0.01</v>
      </c>
      <c r="CF16" s="9" t="s">
        <v>64</v>
      </c>
      <c r="CG16" s="11">
        <f t="shared" si="25"/>
        <v>47.808355278920487</v>
      </c>
      <c r="CH16" s="10">
        <f t="shared" si="26"/>
        <v>0.74458814188813893</v>
      </c>
      <c r="CI16" s="10">
        <f t="shared" si="13"/>
        <v>0.21111111111111111</v>
      </c>
      <c r="CJ16" s="4">
        <f t="shared" si="14"/>
        <v>5.45</v>
      </c>
      <c r="CK16" s="4">
        <f t="shared" si="15"/>
        <v>41.176470588235297</v>
      </c>
      <c r="CL16" s="4">
        <f t="shared" si="16"/>
        <v>14.352941176470589</v>
      </c>
      <c r="CM16" s="4">
        <f t="shared" si="17"/>
        <v>11.4</v>
      </c>
      <c r="CN16" s="4">
        <f t="shared" si="18"/>
        <v>10.378574777308957</v>
      </c>
      <c r="CO16" s="4">
        <f t="shared" si="19"/>
        <v>15.277777777777779</v>
      </c>
      <c r="CP16" s="4">
        <f t="shared" si="20"/>
        <v>2.125</v>
      </c>
      <c r="CQ16" s="10">
        <f t="shared" si="21"/>
        <v>0.96243636958441237</v>
      </c>
      <c r="CR16" s="4">
        <f t="shared" si="32"/>
        <v>12.125</v>
      </c>
      <c r="CS16" s="37">
        <f t="shared" si="27"/>
        <v>865.44987047122129</v>
      </c>
      <c r="CT16" s="4">
        <f t="shared" si="28"/>
        <v>50.211961646664406</v>
      </c>
      <c r="CU16" s="4">
        <f t="shared" si="29"/>
        <v>2.1231116454909902</v>
      </c>
      <c r="CV16" s="11">
        <f t="shared" si="30"/>
        <v>714.22423443952664</v>
      </c>
      <c r="CW16" s="11">
        <f t="shared" si="31"/>
        <v>638.04543473146839</v>
      </c>
    </row>
    <row r="17" spans="1:102" ht="14" customHeight="1">
      <c r="A17" s="3" t="s">
        <v>110</v>
      </c>
      <c r="B17" s="3" t="s">
        <v>94</v>
      </c>
      <c r="C17" s="3" t="s">
        <v>83</v>
      </c>
      <c r="D17" s="4">
        <v>63.1</v>
      </c>
      <c r="E17" s="9">
        <v>0.55000000000000004</v>
      </c>
      <c r="F17" s="4">
        <v>16.8</v>
      </c>
      <c r="G17" s="4">
        <v>4.53</v>
      </c>
      <c r="H17" s="9">
        <v>0.05</v>
      </c>
      <c r="I17" s="9">
        <v>2.2400000000000002</v>
      </c>
      <c r="J17" s="4">
        <v>5.13</v>
      </c>
      <c r="K17" s="10">
        <v>3.98</v>
      </c>
      <c r="L17" s="10">
        <v>0.91</v>
      </c>
      <c r="M17" s="9">
        <v>0.15</v>
      </c>
      <c r="N17" s="35">
        <v>0.04</v>
      </c>
      <c r="O17" s="35">
        <v>4.0000000000000001E-3</v>
      </c>
      <c r="P17" s="10">
        <v>0.03</v>
      </c>
      <c r="Q17" s="4">
        <f t="shared" si="0"/>
        <v>64.711311660342531</v>
      </c>
      <c r="R17" s="10">
        <f t="shared" si="1"/>
        <v>0.55011002200440096</v>
      </c>
      <c r="S17" s="4">
        <f t="shared" si="2"/>
        <v>17.229002153625267</v>
      </c>
      <c r="T17" s="4">
        <f t="shared" si="3"/>
        <v>4.6456773664239561</v>
      </c>
      <c r="U17" s="10">
        <f t="shared" si="4"/>
        <v>5.127679212388473E-2</v>
      </c>
      <c r="V17" s="10">
        <f t="shared" si="5"/>
        <v>2.2972002871500359</v>
      </c>
      <c r="W17" s="10">
        <f t="shared" si="6"/>
        <v>5.2609988719105729</v>
      </c>
      <c r="X17" s="10">
        <f t="shared" si="7"/>
        <v>4.0816326530612246</v>
      </c>
      <c r="Y17" s="10">
        <f t="shared" si="8"/>
        <v>0.93323761665470206</v>
      </c>
      <c r="Z17" s="10">
        <f t="shared" si="9"/>
        <v>0.15383037637165417</v>
      </c>
      <c r="AA17" s="10">
        <f t="shared" si="10"/>
        <v>4.1021433699107782E-2</v>
      </c>
      <c r="AB17" s="10">
        <f t="shared" si="11"/>
        <v>4.1021433699107782E-3</v>
      </c>
      <c r="AC17" s="10">
        <f t="shared" si="12"/>
        <v>3.0766075274330836E-2</v>
      </c>
      <c r="AD17" s="10">
        <v>0.02</v>
      </c>
      <c r="AE17" s="9" t="s">
        <v>63</v>
      </c>
      <c r="AF17" s="4">
        <v>1.89</v>
      </c>
      <c r="AG17" s="4">
        <v>99.4</v>
      </c>
      <c r="AH17" s="11">
        <f t="shared" si="22"/>
        <v>7554.3524416135888</v>
      </c>
      <c r="AI17" s="11">
        <f t="shared" si="23"/>
        <v>3296.3364092804291</v>
      </c>
      <c r="AJ17" s="11">
        <f t="shared" si="24"/>
        <v>654.57235451599263</v>
      </c>
      <c r="AK17" s="11">
        <v>350</v>
      </c>
      <c r="AL17" s="9">
        <v>10</v>
      </c>
      <c r="AM17" s="9">
        <v>7</v>
      </c>
      <c r="AN17" s="9">
        <v>95</v>
      </c>
      <c r="AO17" s="9">
        <v>30</v>
      </c>
      <c r="AP17" s="9">
        <v>13</v>
      </c>
      <c r="AQ17" s="11">
        <v>23</v>
      </c>
      <c r="AR17" s="9">
        <v>23</v>
      </c>
      <c r="AS17" s="9">
        <v>55</v>
      </c>
      <c r="AT17" s="4">
        <v>22.9</v>
      </c>
      <c r="AU17" s="4">
        <v>29.5</v>
      </c>
      <c r="AV17" s="11">
        <v>327</v>
      </c>
      <c r="AW17" s="9">
        <v>9.1999999999999993</v>
      </c>
      <c r="AX17" s="17">
        <v>0.74</v>
      </c>
      <c r="AY17" s="4">
        <v>12.1</v>
      </c>
      <c r="AZ17" s="4">
        <v>26</v>
      </c>
      <c r="BA17" s="10">
        <v>3.19</v>
      </c>
      <c r="BB17" s="10">
        <v>13.7</v>
      </c>
      <c r="BC17" s="10">
        <v>2.7</v>
      </c>
      <c r="BD17" s="10">
        <v>0.74</v>
      </c>
      <c r="BE17" s="10">
        <v>2.5099999999999998</v>
      </c>
      <c r="BF17" s="10">
        <v>0.32</v>
      </c>
      <c r="BG17" s="10">
        <v>1.42</v>
      </c>
      <c r="BH17" s="10">
        <v>0.32</v>
      </c>
      <c r="BI17" s="10">
        <v>0.9</v>
      </c>
      <c r="BJ17" s="10">
        <v>0.12</v>
      </c>
      <c r="BK17" s="10">
        <v>0.91</v>
      </c>
      <c r="BL17" s="10">
        <v>0.13</v>
      </c>
      <c r="BM17" s="9"/>
      <c r="BN17" s="10">
        <v>1.82</v>
      </c>
      <c r="BO17" s="10">
        <v>0.55000000000000004</v>
      </c>
      <c r="BP17" s="4">
        <v>6.5</v>
      </c>
      <c r="BQ17" s="10">
        <v>0.6</v>
      </c>
      <c r="BR17" s="11">
        <v>125</v>
      </c>
      <c r="BS17" s="4">
        <v>3.5</v>
      </c>
      <c r="BT17" s="9" t="s">
        <v>58</v>
      </c>
      <c r="BU17" s="9">
        <v>1</v>
      </c>
      <c r="BV17" s="9">
        <v>1</v>
      </c>
      <c r="BW17" s="9" t="s">
        <v>59</v>
      </c>
      <c r="BX17" s="9">
        <v>0.4</v>
      </c>
      <c r="BY17" s="9">
        <v>0.02</v>
      </c>
      <c r="BZ17" s="9" t="s">
        <v>60</v>
      </c>
      <c r="CA17" s="12">
        <v>8.0000000000000002E-3</v>
      </c>
      <c r="CB17" s="9" t="s">
        <v>61</v>
      </c>
      <c r="CC17" s="9" t="s">
        <v>67</v>
      </c>
      <c r="CD17" s="9">
        <v>0.3</v>
      </c>
      <c r="CE17" s="9" t="s">
        <v>63</v>
      </c>
      <c r="CF17" s="9" t="s">
        <v>64</v>
      </c>
      <c r="CG17" s="11">
        <f t="shared" si="25"/>
        <v>44.229904075533959</v>
      </c>
      <c r="CH17" s="10">
        <f t="shared" si="26"/>
        <v>0.75845052981904537</v>
      </c>
      <c r="CI17" s="10">
        <f t="shared" si="13"/>
        <v>0.22864321608040203</v>
      </c>
      <c r="CJ17" s="4">
        <f t="shared" si="14"/>
        <v>4.8899999999999997</v>
      </c>
      <c r="CK17" s="4">
        <f t="shared" si="15"/>
        <v>35.54347826086957</v>
      </c>
      <c r="CL17" s="4">
        <f t="shared" si="16"/>
        <v>13.586956521739131</v>
      </c>
      <c r="CM17" s="4">
        <f t="shared" si="17"/>
        <v>10.833333333333334</v>
      </c>
      <c r="CN17" s="4">
        <f t="shared" si="18"/>
        <v>9.0327815644271343</v>
      </c>
      <c r="CO17" s="4">
        <f t="shared" si="19"/>
        <v>13.296703296703296</v>
      </c>
      <c r="CP17" s="4">
        <f t="shared" si="20"/>
        <v>1.5604395604395602</v>
      </c>
      <c r="CQ17" s="10">
        <f t="shared" si="21"/>
        <v>0.86648685361737987</v>
      </c>
      <c r="CR17" s="4">
        <f t="shared" si="32"/>
        <v>13.571428571428571</v>
      </c>
      <c r="CS17" s="38">
        <f t="shared" si="27"/>
        <v>871.84901072152127</v>
      </c>
      <c r="CT17" s="4">
        <f t="shared" si="28"/>
        <v>48.860013122638996</v>
      </c>
      <c r="CU17" s="4">
        <f t="shared" si="29"/>
        <v>2.0569123430256737</v>
      </c>
      <c r="CV17" s="11">
        <f t="shared" si="30"/>
        <v>720.35043084519089</v>
      </c>
      <c r="CW17" s="11">
        <f t="shared" si="31"/>
        <v>646.42488098654121</v>
      </c>
    </row>
    <row r="18" spans="1:102" ht="14" customHeight="1">
      <c r="A18" s="3"/>
      <c r="B18" s="3"/>
      <c r="C18" s="3"/>
      <c r="D18" s="4"/>
      <c r="E18" s="9"/>
      <c r="F18" s="4"/>
      <c r="G18" s="4"/>
      <c r="H18" s="9"/>
      <c r="I18" s="9"/>
      <c r="J18" s="4"/>
      <c r="K18" s="10"/>
      <c r="L18" s="10"/>
      <c r="M18" s="9"/>
      <c r="N18" s="35"/>
      <c r="O18" s="35"/>
      <c r="P18" s="10"/>
      <c r="Q18" s="4"/>
      <c r="R18" s="10"/>
      <c r="S18" s="4"/>
      <c r="T18" s="4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9"/>
      <c r="AF18" s="10"/>
      <c r="AG18" s="4"/>
      <c r="AH18" s="11"/>
      <c r="AI18" s="11"/>
      <c r="AJ18" s="11"/>
      <c r="AK18" s="11"/>
      <c r="AL18" s="9"/>
      <c r="AM18" s="9"/>
      <c r="AN18" s="9"/>
      <c r="AO18" s="9"/>
      <c r="AP18" s="9"/>
      <c r="AQ18" s="11"/>
      <c r="AR18" s="9"/>
      <c r="AS18" s="9"/>
      <c r="AT18" s="4"/>
      <c r="AU18" s="4"/>
      <c r="AV18" s="11"/>
      <c r="AW18" s="9"/>
      <c r="AX18" s="17"/>
      <c r="AY18" s="4"/>
      <c r="AZ18" s="4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9"/>
      <c r="BN18" s="10"/>
      <c r="BO18" s="10"/>
      <c r="BP18" s="4"/>
      <c r="BQ18" s="10"/>
      <c r="BR18" s="11"/>
      <c r="BS18" s="4"/>
      <c r="BT18" s="9"/>
      <c r="BU18" s="9"/>
      <c r="BV18" s="9"/>
      <c r="BW18" s="9"/>
      <c r="BX18" s="9"/>
      <c r="BY18" s="9"/>
      <c r="BZ18" s="9"/>
      <c r="CA18" s="12"/>
      <c r="CB18" s="9"/>
      <c r="CC18" s="9"/>
      <c r="CD18" s="9"/>
      <c r="CE18" s="9"/>
      <c r="CF18" s="9"/>
      <c r="CG18" s="11"/>
      <c r="CH18" s="10"/>
      <c r="CI18" s="10"/>
      <c r="CJ18" s="4"/>
      <c r="CK18" s="4"/>
      <c r="CL18" s="4"/>
      <c r="CM18" s="4"/>
      <c r="CN18" s="4"/>
      <c r="CO18" s="4"/>
      <c r="CP18" s="4"/>
      <c r="CQ18" s="10"/>
      <c r="CR18" s="4"/>
      <c r="CS18" s="38"/>
      <c r="CT18" s="4"/>
      <c r="CU18" s="4"/>
      <c r="CV18" s="11"/>
      <c r="CW18" s="11"/>
    </row>
    <row r="19" spans="1:102" s="60" customFormat="1" ht="14" customHeight="1">
      <c r="A19" s="34" t="s">
        <v>200</v>
      </c>
      <c r="B19" s="34"/>
      <c r="C19" s="34"/>
      <c r="D19" s="48">
        <f>AVERAGE(D37:D58)</f>
        <v>55.261363636363633</v>
      </c>
      <c r="E19" s="48">
        <f t="shared" ref="E19:M19" si="33">AVERAGE(E37:E58)</f>
        <v>1.4093181818181819</v>
      </c>
      <c r="F19" s="48">
        <f t="shared" si="33"/>
        <v>15.123181818181818</v>
      </c>
      <c r="G19" s="48">
        <f t="shared" si="33"/>
        <v>9.6991818181818186</v>
      </c>
      <c r="H19" s="48">
        <f t="shared" si="33"/>
        <v>0.14231818181818182</v>
      </c>
      <c r="I19" s="48">
        <f t="shared" si="33"/>
        <v>4.1731818181818179</v>
      </c>
      <c r="J19" s="48">
        <f t="shared" si="33"/>
        <v>7.9827272727272733</v>
      </c>
      <c r="K19" s="48">
        <f t="shared" si="33"/>
        <v>3.7177272727272732</v>
      </c>
      <c r="L19" s="48">
        <f t="shared" si="33"/>
        <v>0.745</v>
      </c>
      <c r="M19" s="48">
        <f t="shared" si="33"/>
        <v>0.25238095238095243</v>
      </c>
      <c r="N19" s="48"/>
      <c r="O19" s="48"/>
      <c r="P19" s="48"/>
      <c r="Q19" s="48">
        <f t="shared" ref="Q19:AC19" si="34">AVERAGE(Q37:Q58)</f>
        <v>56.100082663876947</v>
      </c>
      <c r="R19" s="48">
        <f t="shared" si="34"/>
        <v>1.4096001018385496</v>
      </c>
      <c r="S19" s="48">
        <f t="shared" si="34"/>
        <v>15.354294180677181</v>
      </c>
      <c r="T19" s="48">
        <f t="shared" si="34"/>
        <v>9.8450264228951241</v>
      </c>
      <c r="U19" s="48">
        <f t="shared" si="34"/>
        <v>0.14444505009987391</v>
      </c>
      <c r="V19" s="48">
        <f t="shared" si="34"/>
        <v>4.2356057614976086</v>
      </c>
      <c r="W19" s="48">
        <f t="shared" si="34"/>
        <v>8.1033867213397492</v>
      </c>
      <c r="X19" s="48">
        <f t="shared" si="34"/>
        <v>3.7754804039958434</v>
      </c>
      <c r="Y19" s="48">
        <f t="shared" si="34"/>
        <v>0.75637228714003801</v>
      </c>
      <c r="Z19" s="48"/>
      <c r="AA19" s="48">
        <f t="shared" si="34"/>
        <v>0</v>
      </c>
      <c r="AB19" s="48">
        <f t="shared" si="34"/>
        <v>0</v>
      </c>
      <c r="AC19" s="48">
        <f t="shared" si="34"/>
        <v>0</v>
      </c>
      <c r="AD19" s="47"/>
      <c r="AE19" s="28"/>
      <c r="AF19" s="47"/>
      <c r="AG19" s="48"/>
      <c r="AH19" s="46"/>
      <c r="AI19" s="46"/>
      <c r="AJ19" s="46"/>
      <c r="AK19" s="46"/>
      <c r="AL19" s="28"/>
      <c r="AM19" s="28"/>
      <c r="AN19" s="28"/>
      <c r="AO19" s="28"/>
      <c r="AP19" s="28"/>
      <c r="AQ19" s="46"/>
      <c r="AR19" s="46">
        <f>AVERAGE(AR37:AR38,AR49:AR56,AR40:AR46,AR47,AR57:AR58,AR48)</f>
        <v>39.047619047619051</v>
      </c>
      <c r="AS19" s="28"/>
      <c r="AT19" s="48"/>
      <c r="AU19" s="48"/>
      <c r="AV19" s="46"/>
      <c r="AW19" s="28"/>
      <c r="AX19" s="58"/>
      <c r="AY19" s="48"/>
      <c r="AZ19" s="48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28"/>
      <c r="BN19" s="47"/>
      <c r="BO19" s="47"/>
      <c r="BP19" s="48"/>
      <c r="BQ19" s="47"/>
      <c r="BR19" s="46"/>
      <c r="BS19" s="48"/>
      <c r="BT19" s="28"/>
      <c r="BU19" s="28"/>
      <c r="BV19" s="28"/>
      <c r="BW19" s="28"/>
      <c r="BX19" s="28"/>
      <c r="BY19" s="28"/>
      <c r="BZ19" s="28"/>
      <c r="CA19" s="59"/>
      <c r="CB19" s="28"/>
      <c r="CC19" s="28"/>
      <c r="CD19" s="28"/>
      <c r="CE19" s="28"/>
      <c r="CF19" s="28"/>
      <c r="CG19" s="46">
        <f>AVERAGE(CG37:CG58)</f>
        <v>40.583940269043758</v>
      </c>
      <c r="CH19" s="47">
        <f t="shared" ref="CH19:CW19" si="35">AVERAGE(CH37:CH58)</f>
        <v>0.54228597177077764</v>
      </c>
      <c r="CI19" s="47">
        <f t="shared" si="35"/>
        <v>0.20832307446221668</v>
      </c>
      <c r="CJ19" s="48">
        <f t="shared" si="35"/>
        <v>4.4627272727272747</v>
      </c>
      <c r="CK19" s="48">
        <f t="shared" si="35"/>
        <v>8.5290434397989685</v>
      </c>
      <c r="CL19" s="46">
        <f t="shared" si="35"/>
        <v>5.572165555691635</v>
      </c>
      <c r="CM19" s="46">
        <f t="shared" si="35"/>
        <v>15.98543139078263</v>
      </c>
      <c r="CN19" s="65">
        <f t="shared" si="35"/>
        <v>3.6548636504104137</v>
      </c>
      <c r="CO19" s="65">
        <f t="shared" si="35"/>
        <v>5.3801409015358272</v>
      </c>
      <c r="CP19" s="65">
        <f t="shared" si="35"/>
        <v>1.8003567284005131</v>
      </c>
      <c r="CQ19" s="47">
        <f t="shared" si="35"/>
        <v>0.72830214786725844</v>
      </c>
      <c r="CR19" s="48">
        <f t="shared" si="35"/>
        <v>7.1870058728298236</v>
      </c>
      <c r="CS19" s="46">
        <f t="shared" si="35"/>
        <v>808.13772073781399</v>
      </c>
      <c r="CT19" s="46">
        <f t="shared" si="35"/>
        <v>52.452355017257787</v>
      </c>
      <c r="CU19" s="46">
        <f t="shared" si="35"/>
        <v>3.8123861038616749</v>
      </c>
      <c r="CV19" s="46">
        <f t="shared" si="35"/>
        <v>635.7923708037016</v>
      </c>
      <c r="CW19" s="46">
        <f t="shared" si="35"/>
        <v>526.67115248054915</v>
      </c>
      <c r="CX19" s="46"/>
    </row>
    <row r="20" spans="1:102" ht="14" customHeight="1">
      <c r="A20" s="34" t="s">
        <v>204</v>
      </c>
      <c r="B20" s="3"/>
      <c r="C20" s="3"/>
      <c r="D20" s="4">
        <f>_xlfn.STDEV.S(D37:D58)</f>
        <v>4.1282698964169402</v>
      </c>
      <c r="E20" s="4">
        <f t="shared" ref="E20:M20" si="36">_xlfn.STDEV.S(E37:E58)</f>
        <v>0.4333335223109806</v>
      </c>
      <c r="F20" s="4">
        <f t="shared" si="36"/>
        <v>0.92594552119717533</v>
      </c>
      <c r="G20" s="4">
        <f t="shared" si="36"/>
        <v>2.5410911161558292</v>
      </c>
      <c r="H20" s="4">
        <f t="shared" si="36"/>
        <v>4.2025373700087847E-2</v>
      </c>
      <c r="I20" s="4">
        <f t="shared" si="36"/>
        <v>1.2448537353885472</v>
      </c>
      <c r="J20" s="4">
        <f t="shared" si="36"/>
        <v>1.15751039003125</v>
      </c>
      <c r="K20" s="4">
        <f t="shared" si="36"/>
        <v>0.47362765984806876</v>
      </c>
      <c r="L20" s="4">
        <f t="shared" si="36"/>
        <v>0.46532886476228041</v>
      </c>
      <c r="M20" s="4">
        <f t="shared" si="36"/>
        <v>0.15893095236311772</v>
      </c>
      <c r="N20" s="4"/>
      <c r="O20" s="4"/>
      <c r="P20" s="4"/>
      <c r="Q20" s="4">
        <f t="shared" ref="Q20:AC20" si="37">_xlfn.STDEV.S(Q37:Q58)</f>
        <v>4.168693871406087</v>
      </c>
      <c r="R20" s="4">
        <f t="shared" si="37"/>
        <v>0.43342020635225209</v>
      </c>
      <c r="S20" s="4">
        <f t="shared" si="37"/>
        <v>0.96126423147409035</v>
      </c>
      <c r="T20" s="4">
        <f t="shared" si="37"/>
        <v>2.5729596297466153</v>
      </c>
      <c r="U20" s="4">
        <f t="shared" si="37"/>
        <v>4.245499188230812E-2</v>
      </c>
      <c r="V20" s="4">
        <f t="shared" si="37"/>
        <v>1.2619002241013428</v>
      </c>
      <c r="W20" s="4">
        <f t="shared" si="37"/>
        <v>1.1692513573290364</v>
      </c>
      <c r="X20" s="4">
        <f t="shared" si="37"/>
        <v>0.49322277778196427</v>
      </c>
      <c r="Y20" s="4">
        <f t="shared" si="37"/>
        <v>0.47142576420824256</v>
      </c>
      <c r="Z20" s="4"/>
      <c r="AA20" s="4">
        <f t="shared" si="37"/>
        <v>0</v>
      </c>
      <c r="AB20" s="4">
        <f t="shared" si="37"/>
        <v>0</v>
      </c>
      <c r="AC20" s="4">
        <f t="shared" si="37"/>
        <v>0</v>
      </c>
      <c r="AD20" s="10"/>
      <c r="AE20" s="9"/>
      <c r="AF20" s="10"/>
      <c r="AG20" s="4"/>
      <c r="AH20" s="11"/>
      <c r="AI20" s="11"/>
      <c r="AJ20" s="11"/>
      <c r="AK20" s="11"/>
      <c r="AL20" s="9"/>
      <c r="AM20" s="9"/>
      <c r="AN20" s="9"/>
      <c r="AO20" s="9"/>
      <c r="AP20" s="9"/>
      <c r="AQ20" s="11"/>
      <c r="AR20" s="46">
        <f>_xlfn.STDEV.S(AR37:AR38,AR49:AR56,AR40:AR46,AR47,AR57:AR58,AR48)</f>
        <v>20.939355745763027</v>
      </c>
      <c r="AS20" s="9"/>
      <c r="AT20" s="4"/>
      <c r="AU20" s="4"/>
      <c r="AV20" s="11"/>
      <c r="AW20" s="9"/>
      <c r="AX20" s="17"/>
      <c r="AY20" s="4"/>
      <c r="AZ20" s="4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9"/>
      <c r="BN20" s="10"/>
      <c r="BO20" s="10"/>
      <c r="BP20" s="4"/>
      <c r="BQ20" s="10"/>
      <c r="BR20" s="11"/>
      <c r="BS20" s="4"/>
      <c r="BT20" s="9"/>
      <c r="BU20" s="9"/>
      <c r="BV20" s="9"/>
      <c r="BW20" s="9"/>
      <c r="BX20" s="9"/>
      <c r="BY20" s="9"/>
      <c r="BZ20" s="9"/>
      <c r="CA20" s="12"/>
      <c r="CB20" s="9"/>
      <c r="CC20" s="9"/>
      <c r="CD20" s="9"/>
      <c r="CE20" s="9"/>
      <c r="CF20" s="9"/>
      <c r="CG20" s="11">
        <f>_xlfn.STDEV.S(CG37:CG58)</f>
        <v>5.7345798939087516</v>
      </c>
      <c r="CH20" s="10">
        <f t="shared" ref="CH20:CW20" si="38">_xlfn.STDEV.S(CH37:CH58)</f>
        <v>6.5237867294026766E-2</v>
      </c>
      <c r="CI20" s="10">
        <f t="shared" si="38"/>
        <v>0.1405599163315488</v>
      </c>
      <c r="CJ20" s="4">
        <f t="shared" si="38"/>
        <v>0.55379368530837592</v>
      </c>
      <c r="CK20" s="4">
        <f t="shared" si="38"/>
        <v>4.1160472261344321</v>
      </c>
      <c r="CL20" s="11">
        <f t="shared" si="38"/>
        <v>3.6716988995531947</v>
      </c>
      <c r="CM20" s="11">
        <f t="shared" si="38"/>
        <v>5.8282754828708025</v>
      </c>
      <c r="CN20" s="66">
        <f t="shared" si="38"/>
        <v>1.1855893430949982</v>
      </c>
      <c r="CO20" s="66">
        <f t="shared" si="38"/>
        <v>1.7452464243075447</v>
      </c>
      <c r="CP20" s="66">
        <f t="shared" si="38"/>
        <v>0.1425596858980486</v>
      </c>
      <c r="CQ20" s="10">
        <f t="shared" si="38"/>
        <v>0.16826895405567893</v>
      </c>
      <c r="CR20" s="4">
        <f t="shared" si="38"/>
        <v>2.5114562300581209</v>
      </c>
      <c r="CS20" s="11">
        <f t="shared" si="38"/>
        <v>90.115972923605284</v>
      </c>
      <c r="CT20" s="11">
        <f t="shared" si="38"/>
        <v>1.670946766586819</v>
      </c>
      <c r="CU20" s="11">
        <f t="shared" si="38"/>
        <v>0.76816840121767427</v>
      </c>
      <c r="CV20" s="11">
        <f t="shared" si="38"/>
        <v>70.091314966187852</v>
      </c>
      <c r="CW20" s="11">
        <f t="shared" si="38"/>
        <v>84.621377149953616</v>
      </c>
      <c r="CX20" s="11"/>
    </row>
    <row r="21" spans="1:102" s="60" customFormat="1" ht="14" customHeight="1">
      <c r="A21" s="34" t="s">
        <v>205</v>
      </c>
      <c r="B21" s="34"/>
      <c r="C21" s="34"/>
      <c r="D21" s="4">
        <f>MIN(D37:D58)</f>
        <v>49.17</v>
      </c>
      <c r="E21" s="4">
        <f t="shared" ref="E21:M21" si="39">MIN(E37:E58)</f>
        <v>0.63500000000000001</v>
      </c>
      <c r="F21" s="4">
        <f t="shared" si="39"/>
        <v>13.85</v>
      </c>
      <c r="G21" s="4">
        <f t="shared" si="39"/>
        <v>5.07</v>
      </c>
      <c r="H21" s="4">
        <f t="shared" si="39"/>
        <v>8.4000000000000005E-2</v>
      </c>
      <c r="I21" s="4">
        <f t="shared" si="39"/>
        <v>1.45</v>
      </c>
      <c r="J21" s="4">
        <f t="shared" si="39"/>
        <v>5.95</v>
      </c>
      <c r="K21" s="4">
        <f t="shared" si="39"/>
        <v>2.96</v>
      </c>
      <c r="L21" s="4">
        <f t="shared" si="39"/>
        <v>0.18</v>
      </c>
      <c r="M21" s="4">
        <f t="shared" si="39"/>
        <v>7.0000000000000007E-2</v>
      </c>
      <c r="N21" s="4">
        <f t="shared" ref="N21:AC21" si="40">MIN(N37:N58)</f>
        <v>0</v>
      </c>
      <c r="O21" s="4">
        <f t="shared" si="40"/>
        <v>0</v>
      </c>
      <c r="P21" s="4">
        <f t="shared" si="40"/>
        <v>0</v>
      </c>
      <c r="Q21" s="4">
        <f t="shared" si="40"/>
        <v>49.903582665178121</v>
      </c>
      <c r="R21" s="4">
        <f t="shared" si="40"/>
        <v>0.63512702540508104</v>
      </c>
      <c r="S21" s="4">
        <f t="shared" si="40"/>
        <v>13.982836951034828</v>
      </c>
      <c r="T21" s="4">
        <f t="shared" si="40"/>
        <v>5.1206948793051206</v>
      </c>
      <c r="U21" s="4">
        <f t="shared" si="40"/>
        <v>8.4839915160084836E-2</v>
      </c>
      <c r="V21" s="4">
        <f t="shared" si="40"/>
        <v>1.4913092666872365</v>
      </c>
      <c r="W21" s="4">
        <f t="shared" si="40"/>
        <v>5.9691011235955065</v>
      </c>
      <c r="X21" s="4">
        <f t="shared" si="40"/>
        <v>2.9929221435793729</v>
      </c>
      <c r="Y21" s="4">
        <f t="shared" si="40"/>
        <v>0.18179981820018179</v>
      </c>
      <c r="Z21" s="4"/>
      <c r="AA21" s="4">
        <f t="shared" si="40"/>
        <v>0</v>
      </c>
      <c r="AB21" s="4">
        <f t="shared" si="40"/>
        <v>0</v>
      </c>
      <c r="AC21" s="4">
        <f t="shared" si="40"/>
        <v>0</v>
      </c>
      <c r="AD21" s="47"/>
      <c r="AE21" s="28"/>
      <c r="AF21" s="47"/>
      <c r="AG21" s="48"/>
      <c r="AH21" s="46"/>
      <c r="AI21" s="46"/>
      <c r="AJ21" s="46"/>
      <c r="AK21" s="46"/>
      <c r="AL21" s="28"/>
      <c r="AM21" s="28"/>
      <c r="AN21" s="28"/>
      <c r="AO21" s="28"/>
      <c r="AP21" s="28"/>
      <c r="AQ21" s="46"/>
      <c r="AR21" s="11">
        <f>MIN(AR37:AR58)</f>
        <v>6.1</v>
      </c>
      <c r="AS21" s="28"/>
      <c r="AT21" s="48"/>
      <c r="AU21" s="48"/>
      <c r="AV21" s="46"/>
      <c r="AW21" s="28"/>
      <c r="AX21" s="58"/>
      <c r="AY21" s="48"/>
      <c r="AZ21" s="48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28"/>
      <c r="BN21" s="47"/>
      <c r="BO21" s="47"/>
      <c r="BP21" s="48"/>
      <c r="BQ21" s="47"/>
      <c r="BR21" s="46"/>
      <c r="BS21" s="48"/>
      <c r="BT21" s="28"/>
      <c r="BU21" s="28"/>
      <c r="BV21" s="28"/>
      <c r="BW21" s="28"/>
      <c r="BX21" s="28"/>
      <c r="BY21" s="28"/>
      <c r="BZ21" s="28"/>
      <c r="CA21" s="59"/>
      <c r="CB21" s="28"/>
      <c r="CC21" s="28"/>
      <c r="CD21" s="28"/>
      <c r="CE21" s="28"/>
      <c r="CF21" s="28"/>
      <c r="CG21" s="11">
        <f>MIN(CG37:CG58)</f>
        <v>27.571862805646543</v>
      </c>
      <c r="CH21" s="10">
        <f t="shared" ref="CH21:CW21" si="41">MIN(CH37:CH58)</f>
        <v>0.43181593853513933</v>
      </c>
      <c r="CI21" s="10">
        <f t="shared" si="41"/>
        <v>4.1474654377880185E-2</v>
      </c>
      <c r="CJ21" s="4">
        <f t="shared" si="41"/>
        <v>3.62</v>
      </c>
      <c r="CK21" s="4">
        <f t="shared" si="41"/>
        <v>2.3668639053254439</v>
      </c>
      <c r="CL21" s="11">
        <f t="shared" si="41"/>
        <v>1.5610859728506787</v>
      </c>
      <c r="CM21" s="11">
        <f t="shared" si="41"/>
        <v>8.7692307692307701</v>
      </c>
      <c r="CN21" s="66">
        <f t="shared" si="41"/>
        <v>1.9226176259851924</v>
      </c>
      <c r="CO21" s="66">
        <f t="shared" si="41"/>
        <v>2.8301886792452828</v>
      </c>
      <c r="CP21" s="66">
        <f t="shared" si="41"/>
        <v>1.5393081761006286</v>
      </c>
      <c r="CQ21" s="10">
        <f t="shared" si="41"/>
        <v>0.43420927298552708</v>
      </c>
      <c r="CR21" s="4">
        <f t="shared" si="41"/>
        <v>2.25</v>
      </c>
      <c r="CS21" s="11">
        <f t="shared" si="41"/>
        <v>632.33192052059803</v>
      </c>
      <c r="CT21" s="11">
        <f t="shared" si="41"/>
        <v>48.333491328766264</v>
      </c>
      <c r="CU21" s="11">
        <f t="shared" si="41"/>
        <v>2.5078935212317548</v>
      </c>
      <c r="CV21" s="11">
        <f t="shared" si="41"/>
        <v>553.75517681684539</v>
      </c>
      <c r="CW21" s="11">
        <f t="shared" si="41"/>
        <v>431.47003935927501</v>
      </c>
      <c r="CX21" s="11"/>
    </row>
    <row r="22" spans="1:102" s="60" customFormat="1" ht="14" customHeight="1">
      <c r="A22" s="34" t="s">
        <v>206</v>
      </c>
      <c r="B22" s="34"/>
      <c r="C22" s="34"/>
      <c r="D22" s="4">
        <f>MAX(D37:D58)</f>
        <v>63.53</v>
      </c>
      <c r="E22" s="4">
        <f t="shared" ref="E22:M22" si="42">MAX(E37:E58)</f>
        <v>2.1890000000000001</v>
      </c>
      <c r="F22" s="4">
        <f t="shared" si="42"/>
        <v>18.25</v>
      </c>
      <c r="G22" s="4">
        <f t="shared" si="42"/>
        <v>13.510000000000002</v>
      </c>
      <c r="H22" s="4">
        <f t="shared" si="42"/>
        <v>0.23400000000000001</v>
      </c>
      <c r="I22" s="4">
        <f t="shared" si="42"/>
        <v>6</v>
      </c>
      <c r="J22" s="4">
        <f t="shared" si="42"/>
        <v>9.81</v>
      </c>
      <c r="K22" s="4">
        <f t="shared" si="42"/>
        <v>4.9000000000000004</v>
      </c>
      <c r="L22" s="4">
        <f t="shared" si="42"/>
        <v>2.06</v>
      </c>
      <c r="M22" s="4">
        <f t="shared" si="42"/>
        <v>0.66</v>
      </c>
      <c r="N22" s="4">
        <f t="shared" ref="N22:AC22" si="43">MAX(N37:N58)</f>
        <v>0</v>
      </c>
      <c r="O22" s="4">
        <f t="shared" si="43"/>
        <v>0</v>
      </c>
      <c r="P22" s="4">
        <f t="shared" si="43"/>
        <v>0</v>
      </c>
      <c r="Q22" s="4">
        <f t="shared" si="43"/>
        <v>63.733948635634036</v>
      </c>
      <c r="R22" s="4">
        <f t="shared" si="43"/>
        <v>2.1894378875775158</v>
      </c>
      <c r="S22" s="4">
        <f t="shared" si="43"/>
        <v>18.501622060016221</v>
      </c>
      <c r="T22" s="4">
        <f>MAX(T37:T58)</f>
        <v>13.711559930985489</v>
      </c>
      <c r="U22" s="4">
        <f t="shared" si="43"/>
        <v>0.23624432104997475</v>
      </c>
      <c r="V22" s="4">
        <f t="shared" si="43"/>
        <v>6.0590683040698261</v>
      </c>
      <c r="W22" s="4">
        <f t="shared" si="43"/>
        <v>9.9080900919099069</v>
      </c>
      <c r="X22" s="4">
        <f t="shared" si="43"/>
        <v>5.0395968322534213</v>
      </c>
      <c r="Y22" s="4">
        <f t="shared" si="43"/>
        <v>2.0884022708840226</v>
      </c>
      <c r="Z22" s="4"/>
      <c r="AA22" s="4">
        <f t="shared" si="43"/>
        <v>0</v>
      </c>
      <c r="AB22" s="4">
        <f t="shared" si="43"/>
        <v>0</v>
      </c>
      <c r="AC22" s="4">
        <f t="shared" si="43"/>
        <v>0</v>
      </c>
      <c r="AD22" s="47"/>
      <c r="AE22" s="28"/>
      <c r="AF22" s="47"/>
      <c r="AG22" s="48"/>
      <c r="AH22" s="46"/>
      <c r="AI22" s="46"/>
      <c r="AJ22" s="46"/>
      <c r="AK22" s="46"/>
      <c r="AL22" s="28"/>
      <c r="AM22" s="28"/>
      <c r="AN22" s="28"/>
      <c r="AO22" s="28"/>
      <c r="AP22" s="28"/>
      <c r="AQ22" s="46"/>
      <c r="AR22" s="11">
        <f>MAX(AR37:AR58)</f>
        <v>103</v>
      </c>
      <c r="AS22" s="28"/>
      <c r="AT22" s="48"/>
      <c r="AU22" s="48"/>
      <c r="AV22" s="46"/>
      <c r="AW22" s="28"/>
      <c r="AX22" s="58"/>
      <c r="AY22" s="48"/>
      <c r="AZ22" s="48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28"/>
      <c r="BN22" s="47"/>
      <c r="BO22" s="47"/>
      <c r="BP22" s="48"/>
      <c r="BQ22" s="47"/>
      <c r="BR22" s="46"/>
      <c r="BS22" s="48"/>
      <c r="BT22" s="28"/>
      <c r="BU22" s="28"/>
      <c r="BV22" s="28"/>
      <c r="BW22" s="28"/>
      <c r="BX22" s="28"/>
      <c r="BY22" s="28"/>
      <c r="BZ22" s="28"/>
      <c r="CA22" s="59"/>
      <c r="CB22" s="28"/>
      <c r="CC22" s="28"/>
      <c r="CD22" s="28"/>
      <c r="CE22" s="28"/>
      <c r="CF22" s="28"/>
      <c r="CG22" s="11">
        <f>MAX(CG37:CG58)</f>
        <v>48.114474276008458</v>
      </c>
      <c r="CH22" s="10">
        <f t="shared" ref="CH22:CW22" si="44">MAX(CH37:CH58)</f>
        <v>0.66652209316698241</v>
      </c>
      <c r="CI22" s="10">
        <f t="shared" si="44"/>
        <v>0.5706371191135734</v>
      </c>
      <c r="CJ22" s="4">
        <f t="shared" si="44"/>
        <v>5.79</v>
      </c>
      <c r="CK22" s="4">
        <f t="shared" si="44"/>
        <v>17.964601769911503</v>
      </c>
      <c r="CL22" s="11">
        <f t="shared" si="44"/>
        <v>17.251461988304094</v>
      </c>
      <c r="CM22" s="11">
        <f t="shared" si="44"/>
        <v>32.105263157894733</v>
      </c>
      <c r="CN22" s="66">
        <f t="shared" si="44"/>
        <v>6.0820423768831215</v>
      </c>
      <c r="CO22" s="66">
        <f t="shared" si="44"/>
        <v>8.9530685920577611</v>
      </c>
      <c r="CP22" s="66">
        <f t="shared" si="44"/>
        <v>2.1052631578947367</v>
      </c>
      <c r="CQ22" s="10">
        <f t="shared" si="44"/>
        <v>1.0981118940690484</v>
      </c>
      <c r="CR22" s="4">
        <f t="shared" si="44"/>
        <v>13.421052631578947</v>
      </c>
      <c r="CS22" s="11">
        <f t="shared" si="44"/>
        <v>972.0546975657486</v>
      </c>
      <c r="CT22" s="11">
        <f t="shared" si="44"/>
        <v>55.185560572048203</v>
      </c>
      <c r="CU22" s="11">
        <f t="shared" si="44"/>
        <v>5.3638103538731619</v>
      </c>
      <c r="CV22" s="11">
        <f t="shared" si="44"/>
        <v>806.65262076595161</v>
      </c>
      <c r="CW22" s="11">
        <f t="shared" si="44"/>
        <v>723.52262837818546</v>
      </c>
      <c r="CX22" s="11"/>
    </row>
    <row r="23" spans="1:102" s="60" customFormat="1" ht="14" customHeight="1">
      <c r="A23" s="34" t="s">
        <v>207</v>
      </c>
      <c r="B23" s="34"/>
      <c r="C23" s="34"/>
      <c r="D23" s="4"/>
      <c r="E23" s="10"/>
      <c r="F23" s="4"/>
      <c r="G23" s="4"/>
      <c r="H23" s="10"/>
      <c r="I23" s="4"/>
      <c r="J23" s="4"/>
      <c r="K23" s="10"/>
      <c r="L23" s="10"/>
      <c r="M23" s="10"/>
      <c r="N23" s="10"/>
      <c r="O23" s="10"/>
      <c r="P23" s="10"/>
      <c r="Q23" s="4"/>
      <c r="R23" s="4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47"/>
      <c r="AE23" s="28"/>
      <c r="AF23" s="47"/>
      <c r="AG23" s="48"/>
      <c r="AH23" s="46"/>
      <c r="AI23" s="46"/>
      <c r="AJ23" s="46"/>
      <c r="AK23" s="46"/>
      <c r="AL23" s="28"/>
      <c r="AM23" s="28"/>
      <c r="AN23" s="28"/>
      <c r="AO23" s="28"/>
      <c r="AP23" s="28"/>
      <c r="AQ23" s="46"/>
      <c r="AR23" s="11"/>
      <c r="AS23" s="28"/>
      <c r="AT23" s="48"/>
      <c r="AU23" s="48"/>
      <c r="AV23" s="46"/>
      <c r="AW23" s="28"/>
      <c r="AX23" s="58"/>
      <c r="AY23" s="48"/>
      <c r="AZ23" s="48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28"/>
      <c r="BN23" s="47"/>
      <c r="BO23" s="47"/>
      <c r="BP23" s="48"/>
      <c r="BQ23" s="47"/>
      <c r="BR23" s="46"/>
      <c r="BS23" s="48"/>
      <c r="BT23" s="28"/>
      <c r="BU23" s="28"/>
      <c r="BV23" s="28"/>
      <c r="BW23" s="28"/>
      <c r="BX23" s="28"/>
      <c r="BY23" s="28"/>
      <c r="BZ23" s="28"/>
      <c r="CA23" s="59"/>
      <c r="CB23" s="28"/>
      <c r="CC23" s="28"/>
      <c r="CD23" s="28"/>
      <c r="CE23" s="28"/>
      <c r="CF23" s="28"/>
      <c r="CG23" s="63">
        <f>COUNT(#REF!,CG37:CG58)</f>
        <v>22</v>
      </c>
      <c r="CH23" s="63">
        <f>COUNT(#REF!,CH37:CH58)</f>
        <v>22</v>
      </c>
      <c r="CI23" s="63">
        <f>COUNT(#REF!,CI37:CI58)</f>
        <v>22</v>
      </c>
      <c r="CJ23" s="63">
        <f>COUNT(#REF!,CJ37:CJ58)</f>
        <v>22</v>
      </c>
      <c r="CK23" s="63">
        <f>COUNT(#REF!,CK37:CK58)</f>
        <v>22</v>
      </c>
      <c r="CL23" s="63">
        <f>COUNT(#REF!,CL37:CL58)</f>
        <v>14</v>
      </c>
      <c r="CM23" s="63">
        <f>COUNT(#REF!,CM37:CM58)</f>
        <v>22</v>
      </c>
      <c r="CN23" s="63">
        <f>COUNT(#REF!,CN37:CN58)</f>
        <v>22</v>
      </c>
      <c r="CO23" s="63">
        <f>COUNT(#REF!,CO37:CO58)</f>
        <v>22</v>
      </c>
      <c r="CP23" s="63">
        <f>COUNT(#REF!,CP37:CP58)</f>
        <v>22</v>
      </c>
      <c r="CQ23" s="63">
        <f>COUNT(#REF!,CQ37:CQ58)</f>
        <v>22</v>
      </c>
      <c r="CR23" s="63">
        <f>COUNT(#REF!,CR37:CR58)</f>
        <v>22</v>
      </c>
      <c r="CS23" s="63">
        <f>COUNT(#REF!,CS37:CS58)</f>
        <v>21</v>
      </c>
      <c r="CT23" s="63">
        <f>COUNT(#REF!,CT37:CT58)</f>
        <v>21</v>
      </c>
      <c r="CU23" s="63">
        <f>COUNT(#REF!,CU37:CU58)</f>
        <v>21</v>
      </c>
      <c r="CV23" s="63">
        <f>COUNT(#REF!,CV37:CV58)</f>
        <v>13</v>
      </c>
      <c r="CW23" s="63">
        <f>COUNT(#REF!,CW37:CW58)</f>
        <v>13</v>
      </c>
      <c r="CX23" s="11"/>
    </row>
    <row r="24" spans="1:102" s="60" customFormat="1" ht="14" customHeight="1">
      <c r="A24" s="34" t="s">
        <v>201</v>
      </c>
      <c r="B24" s="34"/>
      <c r="C24" s="34"/>
      <c r="D24" s="48">
        <f t="shared" ref="D24:M24" si="45">AVERAGE(D4:D5,D8,D9:D12,D14:D15,D61:D65)</f>
        <v>72.742857142857147</v>
      </c>
      <c r="E24" s="47">
        <f t="shared" si="45"/>
        <v>0.37714285714285711</v>
      </c>
      <c r="F24" s="48">
        <f t="shared" si="45"/>
        <v>13.003571428571428</v>
      </c>
      <c r="G24" s="48">
        <f t="shared" si="45"/>
        <v>3.7771428571428571</v>
      </c>
      <c r="H24" s="47">
        <f t="shared" si="45"/>
        <v>5.9285714285714296E-2</v>
      </c>
      <c r="I24" s="48">
        <f t="shared" si="45"/>
        <v>0.65571428571428581</v>
      </c>
      <c r="J24" s="48">
        <f t="shared" si="45"/>
        <v>2.9764285714285714</v>
      </c>
      <c r="K24" s="47">
        <f t="shared" si="45"/>
        <v>5.0564285714285715</v>
      </c>
      <c r="L24" s="47">
        <f t="shared" si="45"/>
        <v>0.5714285714285714</v>
      </c>
      <c r="M24" s="47">
        <f t="shared" si="45"/>
        <v>9.1428571428571442E-2</v>
      </c>
      <c r="N24" s="47">
        <f t="shared" ref="N24:AC24" si="46">AVERAGE(N4:N5,N8,N9:N12,N14:N15,N61:N65)</f>
        <v>2.4444444444444446E-2</v>
      </c>
      <c r="O24" s="47">
        <f t="shared" si="46"/>
        <v>2.3333333333333331E-3</v>
      </c>
      <c r="P24" s="47">
        <f t="shared" si="46"/>
        <v>1.111111111111111E-2</v>
      </c>
      <c r="Q24" s="48">
        <f t="shared" si="46"/>
        <v>73.253618724896526</v>
      </c>
      <c r="R24" s="48">
        <f t="shared" si="46"/>
        <v>0.37721830080301766</v>
      </c>
      <c r="S24" s="47">
        <f t="shared" si="46"/>
        <v>13.087290318102761</v>
      </c>
      <c r="T24" s="47">
        <f t="shared" si="46"/>
        <v>3.7932889741875733</v>
      </c>
      <c r="U24" s="47">
        <f t="shared" si="46"/>
        <v>5.9523709300876249E-2</v>
      </c>
      <c r="V24" s="47">
        <f t="shared" si="46"/>
        <v>0.6581132381292909</v>
      </c>
      <c r="W24" s="47">
        <f t="shared" si="46"/>
        <v>2.9902878999347648</v>
      </c>
      <c r="X24" s="47">
        <f t="shared" si="46"/>
        <v>5.0888707615847428</v>
      </c>
      <c r="Y24" s="47">
        <f t="shared" si="46"/>
        <v>0.57595668281664725</v>
      </c>
      <c r="Z24" s="47">
        <f t="shared" si="46"/>
        <v>9.1641368899352274E-2</v>
      </c>
      <c r="AA24" s="47">
        <f t="shared" si="46"/>
        <v>1.5848903762021409E-2</v>
      </c>
      <c r="AB24" s="47">
        <f t="shared" si="46"/>
        <v>1.5077554583524434E-3</v>
      </c>
      <c r="AC24" s="47">
        <f t="shared" si="46"/>
        <v>7.1752572298680508E-3</v>
      </c>
      <c r="AD24" s="47"/>
      <c r="AE24" s="28"/>
      <c r="AF24" s="47"/>
      <c r="AG24" s="48"/>
      <c r="AH24" s="46"/>
      <c r="AI24" s="46"/>
      <c r="AJ24" s="46"/>
      <c r="AK24" s="46"/>
      <c r="AL24" s="28"/>
      <c r="AM24" s="28"/>
      <c r="AN24" s="28"/>
      <c r="AO24" s="28"/>
      <c r="AP24" s="28"/>
      <c r="AQ24" s="46"/>
      <c r="AR24" s="46">
        <f>AVERAGE(AR4:AR5,AR8,AR9:AR12,AR15,AR61:AR65)</f>
        <v>11.2</v>
      </c>
      <c r="AS24" s="28"/>
      <c r="AT24" s="48"/>
      <c r="AU24" s="48"/>
      <c r="AV24" s="46"/>
      <c r="AW24" s="28"/>
      <c r="AX24" s="58"/>
      <c r="AY24" s="48"/>
      <c r="AZ24" s="48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28"/>
      <c r="BN24" s="47"/>
      <c r="BO24" s="47"/>
      <c r="BP24" s="48"/>
      <c r="BQ24" s="47"/>
      <c r="BR24" s="46"/>
      <c r="BS24" s="48"/>
      <c r="BT24" s="28"/>
      <c r="BU24" s="28"/>
      <c r="BV24" s="28"/>
      <c r="BW24" s="28"/>
      <c r="BX24" s="28"/>
      <c r="BY24" s="28"/>
      <c r="BZ24" s="28"/>
      <c r="CA24" s="59"/>
      <c r="CB24" s="28"/>
      <c r="CC24" s="28"/>
      <c r="CD24" s="28"/>
      <c r="CE24" s="28"/>
      <c r="CF24" s="28"/>
      <c r="CG24" s="46">
        <f t="shared" ref="CG24:CW24" si="47">AVERAGE(CG4:CG5,CG8,CG9:CG12,CG14:CG15,CG61:CG65)</f>
        <v>22.380806904584297</v>
      </c>
      <c r="CH24" s="47">
        <f t="shared" si="47"/>
        <v>0.70988597213387117</v>
      </c>
      <c r="CI24" s="47">
        <f t="shared" si="47"/>
        <v>0.1201797298599994</v>
      </c>
      <c r="CJ24" s="48">
        <f t="shared" si="47"/>
        <v>5.6278571428571427</v>
      </c>
      <c r="CK24" s="46">
        <f t="shared" si="47"/>
        <v>2.3047156138563549</v>
      </c>
      <c r="CL24" s="48">
        <f t="shared" si="47"/>
        <v>5.8794769236810982</v>
      </c>
      <c r="CM24" s="48">
        <f t="shared" si="47"/>
        <v>16.479078461221317</v>
      </c>
      <c r="CN24" s="48">
        <f t="shared" si="47"/>
        <v>2.3065147006393345</v>
      </c>
      <c r="CO24" s="48">
        <f t="shared" si="47"/>
        <v>3.3953042487672187</v>
      </c>
      <c r="CP24" s="48">
        <f t="shared" si="47"/>
        <v>1.3797080815427649</v>
      </c>
      <c r="CQ24" s="47">
        <f t="shared" si="47"/>
        <v>0.72114683309066585</v>
      </c>
      <c r="CR24" s="48">
        <f t="shared" si="47"/>
        <v>1.7660587854809822</v>
      </c>
      <c r="CS24" s="46">
        <f t="shared" si="47"/>
        <v>892.70863502449561</v>
      </c>
      <c r="CT24" s="46">
        <f t="shared" si="47"/>
        <v>47.160116030247032</v>
      </c>
      <c r="CU24" s="46">
        <f t="shared" si="47"/>
        <v>1.7190517345639125</v>
      </c>
      <c r="CV24" s="46">
        <f t="shared" si="47"/>
        <v>812.319195989072</v>
      </c>
      <c r="CW24" s="46">
        <f t="shared" si="47"/>
        <v>761.88163910776791</v>
      </c>
      <c r="CX24" s="46"/>
    </row>
    <row r="25" spans="1:102" ht="14" customHeight="1">
      <c r="A25" s="34" t="s">
        <v>204</v>
      </c>
      <c r="B25" s="3"/>
      <c r="C25" s="3"/>
      <c r="D25" s="4">
        <f t="shared" ref="D25:M25" si="48">_xlfn.STDEV.S(D4:D5,D9:D12,D14:D15,D61:D65)</f>
        <v>4.1482619159205587</v>
      </c>
      <c r="E25" s="10">
        <f t="shared" si="48"/>
        <v>0.16827556764624702</v>
      </c>
      <c r="F25" s="4">
        <f t="shared" si="48"/>
        <v>1.4780986574060626</v>
      </c>
      <c r="G25" s="4">
        <f t="shared" si="48"/>
        <v>2.2825547989602368</v>
      </c>
      <c r="H25" s="10">
        <f t="shared" si="48"/>
        <v>4.9497474683058332E-2</v>
      </c>
      <c r="I25" s="4">
        <f t="shared" si="48"/>
        <v>0.38784579277640607</v>
      </c>
      <c r="J25" s="4">
        <f t="shared" si="48"/>
        <v>1.1002412322898867</v>
      </c>
      <c r="K25" s="10">
        <f t="shared" si="48"/>
        <v>0.59853774809733595</v>
      </c>
      <c r="L25" s="10">
        <f t="shared" si="48"/>
        <v>0.29649231407861526</v>
      </c>
      <c r="M25" s="10">
        <f t="shared" si="48"/>
        <v>6.5642778422110998E-2</v>
      </c>
      <c r="N25" s="10">
        <f t="shared" ref="N25:AC25" si="49">_xlfn.STDEV.S(N4:N5,N9:N12,N14:N15,N61:N65)</f>
        <v>1.3024701806293188E-2</v>
      </c>
      <c r="O25" s="10">
        <f t="shared" si="49"/>
        <v>5.1754916950676568E-4</v>
      </c>
      <c r="P25" s="10">
        <f t="shared" si="49"/>
        <v>5.3452248382484914E-3</v>
      </c>
      <c r="Q25" s="4">
        <f t="shared" si="49"/>
        <v>4.3982424610974142</v>
      </c>
      <c r="R25" s="4">
        <f t="shared" si="49"/>
        <v>0.16830922949214538</v>
      </c>
      <c r="S25" s="10">
        <f t="shared" si="49"/>
        <v>1.4702155425985761</v>
      </c>
      <c r="T25" s="10">
        <f t="shared" si="49"/>
        <v>2.2766978196013397</v>
      </c>
      <c r="U25" s="10">
        <f t="shared" si="49"/>
        <v>4.9410848785311851E-2</v>
      </c>
      <c r="V25" s="10">
        <f t="shared" si="49"/>
        <v>0.38758156241089442</v>
      </c>
      <c r="W25" s="10">
        <f t="shared" si="49"/>
        <v>1.0935677271894741</v>
      </c>
      <c r="X25" s="10">
        <f t="shared" si="49"/>
        <v>0.60077305406965309</v>
      </c>
      <c r="Y25" s="10">
        <f t="shared" si="49"/>
        <v>0.3012616854467845</v>
      </c>
      <c r="Z25" s="10">
        <f t="shared" si="49"/>
        <v>6.5383385352985463E-2</v>
      </c>
      <c r="AA25" s="10">
        <f t="shared" si="49"/>
        <v>1.6822918076228946E-2</v>
      </c>
      <c r="AB25" s="10">
        <f t="shared" si="49"/>
        <v>1.271642782740359E-3</v>
      </c>
      <c r="AC25" s="10">
        <f t="shared" si="49"/>
        <v>6.5243021870721625E-3</v>
      </c>
      <c r="AD25" s="10"/>
      <c r="AE25" s="9"/>
      <c r="AF25" s="10"/>
      <c r="AG25" s="4"/>
      <c r="AH25" s="11"/>
      <c r="AI25" s="11"/>
      <c r="AJ25" s="11"/>
      <c r="AK25" s="11"/>
      <c r="AL25" s="9"/>
      <c r="AM25" s="9"/>
      <c r="AN25" s="9"/>
      <c r="AO25" s="9"/>
      <c r="AP25" s="9"/>
      <c r="AQ25" s="11"/>
      <c r="AR25" s="11">
        <f>_xlfn.STDEV.S(AR4:AR5,AR9:AR12,AR15,AR61:AR65)</f>
        <v>8.5146931829632013</v>
      </c>
      <c r="AS25" s="9"/>
      <c r="AT25" s="4"/>
      <c r="AU25" s="4"/>
      <c r="AV25" s="11"/>
      <c r="AW25" s="9"/>
      <c r="AX25" s="17"/>
      <c r="AY25" s="4"/>
      <c r="AZ25" s="4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9"/>
      <c r="BN25" s="10"/>
      <c r="BO25" s="10"/>
      <c r="BP25" s="4"/>
      <c r="BQ25" s="10"/>
      <c r="BR25" s="11"/>
      <c r="BS25" s="4"/>
      <c r="BT25" s="9"/>
      <c r="BU25" s="9"/>
      <c r="BV25" s="9"/>
      <c r="BW25" s="9"/>
      <c r="BX25" s="9"/>
      <c r="BY25" s="9"/>
      <c r="BZ25" s="9"/>
      <c r="CA25" s="12"/>
      <c r="CB25" s="9"/>
      <c r="CC25" s="9"/>
      <c r="CD25" s="9"/>
      <c r="CE25" s="9"/>
      <c r="CF25" s="9"/>
      <c r="CG25" s="11">
        <f t="shared" ref="CG25:CW25" si="50">_xlfn.STDEV.S(CG4:CG5,CG9:CG12,CG14:CG15,CG61:CG65)</f>
        <v>14.963540767153132</v>
      </c>
      <c r="CH25" s="10">
        <f t="shared" si="50"/>
        <v>8.0200146279566231E-2</v>
      </c>
      <c r="CI25" s="10">
        <f t="shared" si="50"/>
        <v>7.3926879218320043E-2</v>
      </c>
      <c r="CJ25" s="4">
        <f t="shared" si="50"/>
        <v>0.52013065419747895</v>
      </c>
      <c r="CK25" s="11">
        <f t="shared" si="50"/>
        <v>1.0970272207293379</v>
      </c>
      <c r="CL25" s="4">
        <f t="shared" si="50"/>
        <v>3.478278792673553</v>
      </c>
      <c r="CM25" s="4">
        <f t="shared" si="50"/>
        <v>4.8438674732208913</v>
      </c>
      <c r="CN25" s="4">
        <f t="shared" si="50"/>
        <v>1.0789367118124769</v>
      </c>
      <c r="CO25" s="4">
        <f t="shared" si="50"/>
        <v>1.5882484515500443</v>
      </c>
      <c r="CP25" s="4">
        <f t="shared" si="50"/>
        <v>0.13092781350364455</v>
      </c>
      <c r="CQ25" s="10">
        <f t="shared" si="50"/>
        <v>0.20661716984560341</v>
      </c>
      <c r="CR25" s="4">
        <f t="shared" si="50"/>
        <v>0.79880829464322689</v>
      </c>
      <c r="CS25" s="11">
        <f t="shared" si="50"/>
        <v>40.66030373026657</v>
      </c>
      <c r="CT25" s="11">
        <f t="shared" si="50"/>
        <v>1.143498326720797</v>
      </c>
      <c r="CU25" s="11">
        <f t="shared" si="50"/>
        <v>0.31426806261556411</v>
      </c>
      <c r="CV25" s="11">
        <f t="shared" si="50"/>
        <v>43.505031427715195</v>
      </c>
      <c r="CW25" s="11">
        <f t="shared" si="50"/>
        <v>56.230756906117072</v>
      </c>
      <c r="CX25" s="11"/>
    </row>
    <row r="26" spans="1:102" ht="14" customHeight="1">
      <c r="A26" s="34" t="s">
        <v>205</v>
      </c>
      <c r="B26" s="3"/>
      <c r="C26" s="3"/>
      <c r="D26" s="4">
        <f t="shared" ref="D26:M26" si="51">MIN(D4:D5,D8,D9:D12,D14:D15,D61:D65)</f>
        <v>63.1</v>
      </c>
      <c r="E26" s="10">
        <f t="shared" si="51"/>
        <v>0.13</v>
      </c>
      <c r="F26" s="4">
        <f t="shared" si="51"/>
        <v>10.6</v>
      </c>
      <c r="G26" s="4">
        <f t="shared" si="51"/>
        <v>0.78</v>
      </c>
      <c r="H26" s="10">
        <f t="shared" si="51"/>
        <v>0.01</v>
      </c>
      <c r="I26" s="4">
        <f t="shared" si="51"/>
        <v>0.17</v>
      </c>
      <c r="J26" s="4">
        <f t="shared" si="51"/>
        <v>1.01</v>
      </c>
      <c r="K26" s="10">
        <f t="shared" si="51"/>
        <v>4.0999999999999996</v>
      </c>
      <c r="L26" s="10">
        <f t="shared" si="51"/>
        <v>0.2</v>
      </c>
      <c r="M26" s="10">
        <f t="shared" si="51"/>
        <v>0.02</v>
      </c>
      <c r="N26" s="10">
        <f t="shared" ref="N26:AC26" si="52">MIN(N4:N5,N8,N9:N12,N14:N15,N61:N65)</f>
        <v>0.01</v>
      </c>
      <c r="O26" s="10">
        <f t="shared" si="52"/>
        <v>2E-3</v>
      </c>
      <c r="P26" s="10">
        <f t="shared" si="52"/>
        <v>0</v>
      </c>
      <c r="Q26" s="4">
        <f t="shared" si="52"/>
        <v>62.829831723588576</v>
      </c>
      <c r="R26" s="4">
        <f t="shared" si="52"/>
        <v>0.13002600520104021</v>
      </c>
      <c r="S26" s="10">
        <f t="shared" si="52"/>
        <v>10.580954282291875</v>
      </c>
      <c r="T26" s="10">
        <f t="shared" si="52"/>
        <v>0.80255170285008748</v>
      </c>
      <c r="U26" s="10">
        <f t="shared" si="52"/>
        <v>9.982032341784788E-3</v>
      </c>
      <c r="V26" s="10">
        <f t="shared" si="52"/>
        <v>0.16969454981034141</v>
      </c>
      <c r="W26" s="10">
        <f t="shared" si="52"/>
        <v>1.0081852665202635</v>
      </c>
      <c r="X26" s="10">
        <f t="shared" si="52"/>
        <v>4.1624365482233499</v>
      </c>
      <c r="Y26" s="10">
        <f t="shared" si="52"/>
        <v>0.20267531414673692</v>
      </c>
      <c r="Z26" s="10">
        <f t="shared" si="52"/>
        <v>1.9964064683569576E-2</v>
      </c>
      <c r="AA26" s="10">
        <f t="shared" si="52"/>
        <v>0</v>
      </c>
      <c r="AB26" s="10">
        <f t="shared" si="52"/>
        <v>0</v>
      </c>
      <c r="AC26" s="10">
        <f t="shared" si="52"/>
        <v>0</v>
      </c>
      <c r="AD26" s="10"/>
      <c r="AE26" s="9"/>
      <c r="AF26" s="10"/>
      <c r="AG26" s="4"/>
      <c r="AH26" s="11"/>
      <c r="AI26" s="11"/>
      <c r="AJ26" s="11"/>
      <c r="AK26" s="11"/>
      <c r="AL26" s="9"/>
      <c r="AM26" s="9"/>
      <c r="AN26" s="9"/>
      <c r="AO26" s="9"/>
      <c r="AP26" s="9"/>
      <c r="AQ26" s="11"/>
      <c r="AR26" s="11">
        <f>MIN(AR4:AR5,AR8,AR9:AR12,AR15,AR61:AR65)</f>
        <v>1</v>
      </c>
      <c r="AS26" s="9"/>
      <c r="AT26" s="4"/>
      <c r="AU26" s="4"/>
      <c r="AV26" s="11"/>
      <c r="AW26" s="9"/>
      <c r="AX26" s="17"/>
      <c r="AY26" s="4"/>
      <c r="AZ26" s="4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9"/>
      <c r="BN26" s="10"/>
      <c r="BO26" s="10"/>
      <c r="BP26" s="4"/>
      <c r="BQ26" s="10"/>
      <c r="BR26" s="11"/>
      <c r="BS26" s="4"/>
      <c r="BT26" s="9"/>
      <c r="BU26" s="9"/>
      <c r="BV26" s="9"/>
      <c r="BW26" s="9"/>
      <c r="BX26" s="9"/>
      <c r="BY26" s="9"/>
      <c r="BZ26" s="9"/>
      <c r="CA26" s="12"/>
      <c r="CB26" s="9"/>
      <c r="CC26" s="9"/>
      <c r="CD26" s="9"/>
      <c r="CE26" s="9"/>
      <c r="CF26" s="9"/>
      <c r="CG26" s="11">
        <f t="shared" ref="CG26:CW26" si="53">MIN(CG4:CG5,CG8,CG9:CG12,CG14:CG15,CG61:CG65)</f>
        <v>4.4067341877327548</v>
      </c>
      <c r="CH26" s="10">
        <f t="shared" si="53"/>
        <v>0.48761952788837915</v>
      </c>
      <c r="CI26" s="10">
        <f t="shared" si="53"/>
        <v>3.0656934306569343E-2</v>
      </c>
      <c r="CJ26" s="4">
        <f t="shared" si="53"/>
        <v>4.7</v>
      </c>
      <c r="CK26" s="11">
        <f t="shared" si="53"/>
        <v>0.73789649415692826</v>
      </c>
      <c r="CL26" s="4">
        <f t="shared" si="53"/>
        <v>2.7358490566037736</v>
      </c>
      <c r="CM26" s="4">
        <f t="shared" si="53"/>
        <v>10.18181818181818</v>
      </c>
      <c r="CN26" s="4">
        <f t="shared" si="53"/>
        <v>1.3152886255498699</v>
      </c>
      <c r="CO26" s="4">
        <f t="shared" si="53"/>
        <v>1.9361702127659572</v>
      </c>
      <c r="CP26" s="4">
        <f t="shared" si="53"/>
        <v>1.0168195718654436</v>
      </c>
      <c r="CQ26" s="10">
        <f t="shared" si="53"/>
        <v>0.42360969878742588</v>
      </c>
      <c r="CR26" s="4">
        <f t="shared" si="53"/>
        <v>0.42105263157894735</v>
      </c>
      <c r="CS26" s="11">
        <f t="shared" si="53"/>
        <v>841.84249308022902</v>
      </c>
      <c r="CT26" s="11">
        <f t="shared" si="53"/>
        <v>45.036631707032164</v>
      </c>
      <c r="CU26" s="11">
        <f t="shared" si="53"/>
        <v>1.2862188540191126</v>
      </c>
      <c r="CV26" s="11">
        <f t="shared" si="53"/>
        <v>680.56621818738279</v>
      </c>
      <c r="CW26" s="11">
        <f t="shared" si="53"/>
        <v>579.41332042825491</v>
      </c>
      <c r="CX26" s="11"/>
    </row>
    <row r="27" spans="1:102" ht="14" customHeight="1">
      <c r="A27" s="34" t="s">
        <v>206</v>
      </c>
      <c r="B27" s="3"/>
      <c r="C27" s="3"/>
      <c r="D27" s="4">
        <f t="shared" ref="D27:M27" si="54">MAX(D4:D5,D8,D9:D12,D14:D15,D61:D65)</f>
        <v>80.099999999999994</v>
      </c>
      <c r="E27" s="10">
        <f t="shared" si="54"/>
        <v>1.1200000000000001</v>
      </c>
      <c r="F27" s="4">
        <f t="shared" si="54"/>
        <v>15.8</v>
      </c>
      <c r="G27" s="4">
        <f t="shared" si="54"/>
        <v>8.35</v>
      </c>
      <c r="H27" s="10">
        <f t="shared" si="54"/>
        <v>0.17</v>
      </c>
      <c r="I27" s="4">
        <f t="shared" si="54"/>
        <v>2.67</v>
      </c>
      <c r="J27" s="4">
        <f t="shared" si="54"/>
        <v>7.07</v>
      </c>
      <c r="K27" s="10">
        <f t="shared" si="54"/>
        <v>6.85</v>
      </c>
      <c r="L27" s="10">
        <f t="shared" si="54"/>
        <v>1.34</v>
      </c>
      <c r="M27" s="10">
        <f t="shared" si="54"/>
        <v>0.28999999999999998</v>
      </c>
      <c r="N27" s="10">
        <f t="shared" ref="N27:AC27" si="55">MAX(N4:N5,N8,N9:N12,N14:N15,N61:N65)</f>
        <v>0.05</v>
      </c>
      <c r="O27" s="10">
        <f t="shared" si="55"/>
        <v>3.0000000000000001E-3</v>
      </c>
      <c r="P27" s="10">
        <f t="shared" si="55"/>
        <v>0.02</v>
      </c>
      <c r="Q27" s="4">
        <f t="shared" si="55"/>
        <v>79.956079057696144</v>
      </c>
      <c r="R27" s="4">
        <f t="shared" si="55"/>
        <v>1.120224044808962</v>
      </c>
      <c r="S27" s="10">
        <f t="shared" si="55"/>
        <v>15.980580560331745</v>
      </c>
      <c r="T27" s="10">
        <f t="shared" si="55"/>
        <v>8.3200478278198489</v>
      </c>
      <c r="U27" s="10">
        <f t="shared" si="55"/>
        <v>0.16939019529693106</v>
      </c>
      <c r="V27" s="10">
        <f t="shared" si="55"/>
        <v>2.6585681569252215</v>
      </c>
      <c r="W27" s="10">
        <f t="shared" si="55"/>
        <v>7.039729164592254</v>
      </c>
      <c r="X27" s="10">
        <f t="shared" si="55"/>
        <v>6.8206711142089018</v>
      </c>
      <c r="Y27" s="10">
        <f t="shared" si="55"/>
        <v>1.3604060913705585</v>
      </c>
      <c r="Z27" s="10">
        <f t="shared" si="55"/>
        <v>0.28875833914169069</v>
      </c>
      <c r="AA27" s="10">
        <f t="shared" si="55"/>
        <v>5.0761421319796954E-2</v>
      </c>
      <c r="AB27" s="10">
        <f t="shared" si="55"/>
        <v>3.0407459963511046E-3</v>
      </c>
      <c r="AC27" s="10">
        <f t="shared" si="55"/>
        <v>1.9942167713630471E-2</v>
      </c>
      <c r="AD27" s="10"/>
      <c r="AE27" s="9"/>
      <c r="AF27" s="10"/>
      <c r="AG27" s="4"/>
      <c r="AH27" s="11"/>
      <c r="AI27" s="11"/>
      <c r="AJ27" s="11"/>
      <c r="AK27" s="11"/>
      <c r="AL27" s="9"/>
      <c r="AM27" s="9"/>
      <c r="AN27" s="9"/>
      <c r="AO27" s="9"/>
      <c r="AP27" s="9"/>
      <c r="AQ27" s="11"/>
      <c r="AR27" s="11">
        <f>MAX(AR4:AR5,AR8,AR9:AR12,AR15,AR61:AR65)</f>
        <v>28</v>
      </c>
      <c r="AS27" s="9"/>
      <c r="AT27" s="4"/>
      <c r="AU27" s="4"/>
      <c r="AV27" s="11"/>
      <c r="AW27" s="9"/>
      <c r="AX27" s="17"/>
      <c r="AY27" s="4"/>
      <c r="AZ27" s="4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9"/>
      <c r="BN27" s="10"/>
      <c r="BO27" s="10"/>
      <c r="BP27" s="4"/>
      <c r="BQ27" s="10"/>
      <c r="BR27" s="11"/>
      <c r="BS27" s="4"/>
      <c r="BT27" s="9"/>
      <c r="BU27" s="9"/>
      <c r="BV27" s="9"/>
      <c r="BW27" s="9"/>
      <c r="BX27" s="9"/>
      <c r="BY27" s="9"/>
      <c r="BZ27" s="9"/>
      <c r="CA27" s="12"/>
      <c r="CB27" s="9"/>
      <c r="CC27" s="9"/>
      <c r="CD27" s="9"/>
      <c r="CE27" s="9"/>
      <c r="CF27" s="9"/>
      <c r="CG27" s="11">
        <f t="shared" ref="CG27:CW27" si="56">MAX(CG4:CG5,CG8,CG9:CG12,CG14:CG15,CG61:CG65)</f>
        <v>60.016676265081152</v>
      </c>
      <c r="CH27" s="10">
        <f t="shared" si="56"/>
        <v>0.8508702120346332</v>
      </c>
      <c r="CI27" s="10">
        <f t="shared" si="56"/>
        <v>0.326829268292683</v>
      </c>
      <c r="CJ27" s="4">
        <f t="shared" si="56"/>
        <v>7.06</v>
      </c>
      <c r="CK27" s="11">
        <f t="shared" si="56"/>
        <v>5.125</v>
      </c>
      <c r="CL27" s="4">
        <f t="shared" si="56"/>
        <v>14.90625</v>
      </c>
      <c r="CM27" s="4">
        <f t="shared" si="56"/>
        <v>27.5</v>
      </c>
      <c r="CN27" s="4">
        <f t="shared" si="56"/>
        <v>4.9959319596601777</v>
      </c>
      <c r="CO27" s="4">
        <f t="shared" si="56"/>
        <v>7.3542600896860986</v>
      </c>
      <c r="CP27" s="4">
        <f t="shared" si="56"/>
        <v>1.5913793103448277</v>
      </c>
      <c r="CQ27" s="10">
        <f t="shared" si="56"/>
        <v>1.0039420076985315</v>
      </c>
      <c r="CR27" s="4">
        <f t="shared" si="56"/>
        <v>4.5217391304347823</v>
      </c>
      <c r="CS27" s="11">
        <f t="shared" si="56"/>
        <v>981.88724880236384</v>
      </c>
      <c r="CT27" s="11">
        <f t="shared" si="56"/>
        <v>49.0917181312807</v>
      </c>
      <c r="CU27" s="11">
        <f t="shared" si="56"/>
        <v>3.0966928154703726</v>
      </c>
      <c r="CV27" s="11">
        <f t="shared" si="56"/>
        <v>878.11875713099869</v>
      </c>
      <c r="CW27" s="11">
        <f t="shared" si="56"/>
        <v>844.15720514774546</v>
      </c>
      <c r="CX27" s="11"/>
    </row>
    <row r="28" spans="1:102" ht="14" customHeight="1">
      <c r="A28" s="34" t="s">
        <v>207</v>
      </c>
      <c r="B28" s="3"/>
      <c r="C28" s="3"/>
      <c r="D28" s="4"/>
      <c r="E28" s="10"/>
      <c r="F28" s="4"/>
      <c r="G28" s="4"/>
      <c r="H28" s="10"/>
      <c r="I28" s="4"/>
      <c r="J28" s="4"/>
      <c r="K28" s="10"/>
      <c r="L28" s="10"/>
      <c r="M28" s="10"/>
      <c r="N28" s="10"/>
      <c r="O28" s="10"/>
      <c r="P28" s="10"/>
      <c r="Q28" s="4"/>
      <c r="R28" s="4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9"/>
      <c r="AF28" s="10"/>
      <c r="AG28" s="4"/>
      <c r="AH28" s="11"/>
      <c r="AI28" s="11"/>
      <c r="AJ28" s="11"/>
      <c r="AK28" s="11"/>
      <c r="AL28" s="9"/>
      <c r="AM28" s="9"/>
      <c r="AN28" s="9"/>
      <c r="AO28" s="9"/>
      <c r="AP28" s="9"/>
      <c r="AQ28" s="11"/>
      <c r="AR28" s="11"/>
      <c r="AS28" s="9"/>
      <c r="AT28" s="4"/>
      <c r="AU28" s="4"/>
      <c r="AV28" s="11"/>
      <c r="AW28" s="9"/>
      <c r="AX28" s="17"/>
      <c r="AY28" s="4"/>
      <c r="AZ28" s="4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9"/>
      <c r="BN28" s="10"/>
      <c r="BO28" s="10"/>
      <c r="BP28" s="4"/>
      <c r="BQ28" s="10"/>
      <c r="BR28" s="11"/>
      <c r="BS28" s="4"/>
      <c r="BT28" s="9"/>
      <c r="BU28" s="9"/>
      <c r="BV28" s="9"/>
      <c r="BW28" s="9"/>
      <c r="BX28" s="9"/>
      <c r="BY28" s="9"/>
      <c r="BZ28" s="9"/>
      <c r="CA28" s="12"/>
      <c r="CB28" s="9"/>
      <c r="CC28" s="9"/>
      <c r="CD28" s="9"/>
      <c r="CE28" s="9"/>
      <c r="CF28" s="9"/>
      <c r="CG28" s="64">
        <f t="shared" ref="CG28:CW28" si="57">COUNT(CG4:CG5,CG8,CG9:CG12,CG14:CG15,CG61:CG65)</f>
        <v>14</v>
      </c>
      <c r="CH28" s="64">
        <f t="shared" si="57"/>
        <v>14</v>
      </c>
      <c r="CI28" s="64">
        <f t="shared" si="57"/>
        <v>14</v>
      </c>
      <c r="CJ28" s="64">
        <f t="shared" si="57"/>
        <v>14</v>
      </c>
      <c r="CK28" s="64">
        <f t="shared" si="57"/>
        <v>14</v>
      </c>
      <c r="CL28" s="64">
        <f t="shared" si="57"/>
        <v>14</v>
      </c>
      <c r="CM28" s="64">
        <f t="shared" si="57"/>
        <v>14</v>
      </c>
      <c r="CN28" s="64">
        <f t="shared" si="57"/>
        <v>14</v>
      </c>
      <c r="CO28" s="64">
        <f t="shared" si="57"/>
        <v>14</v>
      </c>
      <c r="CP28" s="64">
        <f t="shared" si="57"/>
        <v>14</v>
      </c>
      <c r="CQ28" s="64">
        <f t="shared" si="57"/>
        <v>14</v>
      </c>
      <c r="CR28" s="64">
        <f t="shared" si="57"/>
        <v>10</v>
      </c>
      <c r="CS28" s="64">
        <f t="shared" si="57"/>
        <v>14</v>
      </c>
      <c r="CT28" s="64">
        <f t="shared" si="57"/>
        <v>14</v>
      </c>
      <c r="CU28" s="64">
        <f t="shared" si="57"/>
        <v>14</v>
      </c>
      <c r="CV28" s="64">
        <f t="shared" si="57"/>
        <v>14</v>
      </c>
      <c r="CW28" s="64">
        <f t="shared" si="57"/>
        <v>14</v>
      </c>
      <c r="CX28" s="11"/>
    </row>
    <row r="29" spans="1:102" s="60" customFormat="1">
      <c r="A29" s="34" t="s">
        <v>208</v>
      </c>
      <c r="D29" s="48">
        <f t="shared" ref="D29:M29" si="58">AVERAGE(D16:D17)</f>
        <v>63.150000000000006</v>
      </c>
      <c r="E29" s="48">
        <f t="shared" si="58"/>
        <v>0.56000000000000005</v>
      </c>
      <c r="F29" s="48">
        <f t="shared" si="58"/>
        <v>17.175000000000001</v>
      </c>
      <c r="G29" s="48">
        <f t="shared" si="58"/>
        <v>4.6899999999999995</v>
      </c>
      <c r="H29" s="48">
        <f t="shared" si="58"/>
        <v>5.5E-2</v>
      </c>
      <c r="I29" s="48">
        <f t="shared" si="58"/>
        <v>2.5049999999999999</v>
      </c>
      <c r="J29" s="48">
        <f t="shared" si="58"/>
        <v>5.18</v>
      </c>
      <c r="K29" s="48">
        <f t="shared" si="58"/>
        <v>4.24</v>
      </c>
      <c r="L29" s="48">
        <f t="shared" si="58"/>
        <v>0.92999999999999994</v>
      </c>
      <c r="M29" s="48">
        <f t="shared" si="58"/>
        <v>0.14500000000000002</v>
      </c>
      <c r="N29" s="48">
        <f t="shared" ref="N29:AC29" si="59">AVERAGE(N16:N17)</f>
        <v>3.5000000000000003E-2</v>
      </c>
      <c r="O29" s="48">
        <f t="shared" si="59"/>
        <v>4.5000000000000005E-3</v>
      </c>
      <c r="P29" s="48">
        <f t="shared" si="59"/>
        <v>3.5000000000000003E-2</v>
      </c>
      <c r="Q29" s="48">
        <f t="shared" si="59"/>
        <v>63.9872874618029</v>
      </c>
      <c r="R29" s="48">
        <f t="shared" si="59"/>
        <v>0.56011202240448088</v>
      </c>
      <c r="S29" s="48">
        <f t="shared" si="59"/>
        <v>17.398284860596419</v>
      </c>
      <c r="T29" s="48">
        <f t="shared" si="59"/>
        <v>4.7502661106394051</v>
      </c>
      <c r="U29" s="48">
        <f t="shared" si="59"/>
        <v>5.5668426091972395E-2</v>
      </c>
      <c r="V29" s="48">
        <f t="shared" si="59"/>
        <v>2.5349865299614045</v>
      </c>
      <c r="W29" s="48">
        <f t="shared" si="59"/>
        <v>5.2481170535729049</v>
      </c>
      <c r="X29" s="48">
        <f t="shared" si="59"/>
        <v>4.2930685787828651</v>
      </c>
      <c r="Y29" s="48">
        <f t="shared" si="59"/>
        <v>0.94209428380282656</v>
      </c>
      <c r="Z29" s="48">
        <f t="shared" si="59"/>
        <v>0.14698525825589717</v>
      </c>
      <c r="AA29" s="48">
        <f t="shared" si="59"/>
        <v>3.5525731864568907E-2</v>
      </c>
      <c r="AB29" s="48">
        <f t="shared" si="59"/>
        <v>4.5535741874578924E-3</v>
      </c>
      <c r="AC29" s="48">
        <f t="shared" si="59"/>
        <v>3.540305765718544E-2</v>
      </c>
      <c r="AG29" s="61"/>
      <c r="AH29" s="46"/>
      <c r="AI29" s="46"/>
      <c r="AJ29" s="46"/>
      <c r="AR29" s="46">
        <f>AVERAGE(AR16:AR17)</f>
        <v>35.5</v>
      </c>
      <c r="CG29" s="46">
        <f t="shared" ref="CG29:CW29" si="60">AVERAGE(CG16:CG17)</f>
        <v>46.019129677227227</v>
      </c>
      <c r="CH29" s="47">
        <f t="shared" si="60"/>
        <v>0.7515193358535921</v>
      </c>
      <c r="CI29" s="47">
        <f t="shared" si="60"/>
        <v>0.21987716359575657</v>
      </c>
      <c r="CJ29" s="48">
        <f t="shared" si="60"/>
        <v>5.17</v>
      </c>
      <c r="CK29" s="46">
        <f t="shared" si="60"/>
        <v>38.359974424552433</v>
      </c>
      <c r="CL29" s="48">
        <f t="shared" si="60"/>
        <v>13.96994884910486</v>
      </c>
      <c r="CM29" s="48">
        <f t="shared" si="60"/>
        <v>11.116666666666667</v>
      </c>
      <c r="CN29" s="48">
        <f t="shared" si="60"/>
        <v>9.7056781708680457</v>
      </c>
      <c r="CO29" s="48">
        <f t="shared" si="60"/>
        <v>14.287240537240537</v>
      </c>
      <c r="CP29" s="48">
        <f t="shared" si="60"/>
        <v>1.8427197802197801</v>
      </c>
      <c r="CQ29" s="47">
        <f t="shared" si="60"/>
        <v>0.91446161160089612</v>
      </c>
      <c r="CR29" s="48">
        <f t="shared" si="60"/>
        <v>12.848214285714285</v>
      </c>
      <c r="CS29" s="46">
        <f t="shared" si="60"/>
        <v>868.64944059637128</v>
      </c>
      <c r="CT29" s="46">
        <f t="shared" si="60"/>
        <v>49.535987384651705</v>
      </c>
      <c r="CU29" s="46">
        <f t="shared" si="60"/>
        <v>2.0900119942583322</v>
      </c>
      <c r="CV29" s="46">
        <f t="shared" si="60"/>
        <v>717.28733264235871</v>
      </c>
      <c r="CW29" s="46">
        <f t="shared" si="60"/>
        <v>642.23515785900486</v>
      </c>
      <c r="CX29" s="46"/>
    </row>
    <row r="30" spans="1:102">
      <c r="A30" s="34" t="s">
        <v>204</v>
      </c>
      <c r="D30" s="4">
        <f t="shared" ref="D30:M30" si="61">_xlfn.STDEV.S(D16:D17)</f>
        <v>7.0710678118655765E-2</v>
      </c>
      <c r="E30" s="4">
        <f t="shared" si="61"/>
        <v>1.4142135623730885E-2</v>
      </c>
      <c r="F30" s="4">
        <f t="shared" si="61"/>
        <v>0.5303300858899106</v>
      </c>
      <c r="G30" s="4">
        <f t="shared" si="61"/>
        <v>0.22627416997969479</v>
      </c>
      <c r="H30" s="4">
        <f t="shared" si="61"/>
        <v>7.0710678118654719E-3</v>
      </c>
      <c r="I30" s="4">
        <f t="shared" si="61"/>
        <v>0.37476659402887191</v>
      </c>
      <c r="J30" s="4">
        <f t="shared" si="61"/>
        <v>7.0710678118655126E-2</v>
      </c>
      <c r="K30" s="4">
        <f t="shared" si="61"/>
        <v>0.36769552621700469</v>
      </c>
      <c r="L30" s="4">
        <f t="shared" si="61"/>
        <v>2.8284271247461849E-2</v>
      </c>
      <c r="M30" s="4">
        <f t="shared" si="61"/>
        <v>7.0710678118654623E-3</v>
      </c>
      <c r="N30" s="4">
        <f t="shared" ref="N30:AC30" si="62">_xlfn.STDEV.S(N16:N17)</f>
        <v>7.0710678118654537E-3</v>
      </c>
      <c r="O30" s="4">
        <f t="shared" si="62"/>
        <v>7.0710678118654762E-4</v>
      </c>
      <c r="P30" s="4">
        <f t="shared" si="62"/>
        <v>7.0710678118654537E-3</v>
      </c>
      <c r="Q30" s="4">
        <f t="shared" si="62"/>
        <v>1.0239248410610566</v>
      </c>
      <c r="R30" s="4">
        <f t="shared" si="62"/>
        <v>1.4144964616654231E-2</v>
      </c>
      <c r="S30" s="4">
        <f t="shared" si="62"/>
        <v>0.23940190007383208</v>
      </c>
      <c r="T30" s="4">
        <f t="shared" si="62"/>
        <v>0.14791082054105911</v>
      </c>
      <c r="U30" s="4">
        <f t="shared" si="62"/>
        <v>6.2107083186479523E-3</v>
      </c>
      <c r="V30" s="4">
        <f t="shared" si="62"/>
        <v>0.33628052952957938</v>
      </c>
      <c r="W30" s="4">
        <f t="shared" si="62"/>
        <v>1.8217642201157142E-2</v>
      </c>
      <c r="X30" s="4">
        <f t="shared" si="62"/>
        <v>0.29901555372845368</v>
      </c>
      <c r="Y30" s="4">
        <f t="shared" si="62"/>
        <v>1.2525218798301907E-2</v>
      </c>
      <c r="Z30" s="4">
        <f t="shared" si="62"/>
        <v>9.6804588753493133E-3</v>
      </c>
      <c r="AA30" s="4">
        <f t="shared" si="62"/>
        <v>7.7720960691635699E-3</v>
      </c>
      <c r="AB30" s="4">
        <f t="shared" si="62"/>
        <v>6.3841958464830252E-4</v>
      </c>
      <c r="AC30" s="4">
        <f t="shared" si="62"/>
        <v>6.5576833743181198E-3</v>
      </c>
      <c r="AG30" s="42"/>
      <c r="AH30" s="11"/>
      <c r="AI30" s="11"/>
      <c r="AJ30" s="11"/>
      <c r="AR30" s="11">
        <f>_xlfn.STDEV.S(AR16:AR17)</f>
        <v>17.677669529663689</v>
      </c>
      <c r="CG30" s="11">
        <f t="shared" ref="CG30:CW30" si="63">_xlfn.STDEV.S(CG16:CG17)</f>
        <v>2.5303471120597756</v>
      </c>
      <c r="CH30" s="10">
        <f t="shared" si="63"/>
        <v>9.8021885093824979E-3</v>
      </c>
      <c r="CI30" s="10">
        <f t="shared" si="63"/>
        <v>1.2397070312259976E-2</v>
      </c>
      <c r="CJ30" s="4">
        <f t="shared" si="63"/>
        <v>0.39597979746446693</v>
      </c>
      <c r="CK30" s="11">
        <f t="shared" si="63"/>
        <v>3.9831270730520982</v>
      </c>
      <c r="CL30" s="4">
        <f t="shared" si="63"/>
        <v>0.54163294364545012</v>
      </c>
      <c r="CM30" s="4">
        <f t="shared" si="63"/>
        <v>0.40069384267237679</v>
      </c>
      <c r="CN30" s="4">
        <f t="shared" si="63"/>
        <v>0.95161950690356789</v>
      </c>
      <c r="CO30" s="4">
        <f t="shared" si="63"/>
        <v>1.4008311996033875</v>
      </c>
      <c r="CP30" s="4">
        <f t="shared" si="63"/>
        <v>0.3992045152028445</v>
      </c>
      <c r="CQ30" s="10">
        <f t="shared" si="63"/>
        <v>6.7846553391855594E-2</v>
      </c>
      <c r="CR30" s="4">
        <f t="shared" si="63"/>
        <v>1.0227794513591133</v>
      </c>
      <c r="CS30" s="11">
        <f t="shared" si="63"/>
        <v>4.5248754647508962</v>
      </c>
      <c r="CT30" s="11">
        <f t="shared" si="63"/>
        <v>0.95597196915351135</v>
      </c>
      <c r="CU30" s="11">
        <f t="shared" si="63"/>
        <v>4.6809975683044604E-2</v>
      </c>
      <c r="CV30" s="11">
        <f t="shared" si="63"/>
        <v>4.3318750213258417</v>
      </c>
      <c r="CW30" s="11">
        <f t="shared" si="63"/>
        <v>5.9251632695502128</v>
      </c>
      <c r="CX30" s="11"/>
    </row>
    <row r="31" spans="1:102">
      <c r="A31" s="34" t="s">
        <v>205</v>
      </c>
      <c r="D31" s="4">
        <f t="shared" ref="D31:M31" si="64">MIN(D16:D17)</f>
        <v>63.1</v>
      </c>
      <c r="E31" s="4">
        <f t="shared" si="64"/>
        <v>0.55000000000000004</v>
      </c>
      <c r="F31" s="4">
        <f t="shared" si="64"/>
        <v>16.8</v>
      </c>
      <c r="G31" s="4">
        <f t="shared" si="64"/>
        <v>4.53</v>
      </c>
      <c r="H31" s="4">
        <f t="shared" si="64"/>
        <v>0.05</v>
      </c>
      <c r="I31" s="4">
        <f t="shared" si="64"/>
        <v>2.2400000000000002</v>
      </c>
      <c r="J31" s="4">
        <f t="shared" si="64"/>
        <v>5.13</v>
      </c>
      <c r="K31" s="4">
        <f t="shared" si="64"/>
        <v>3.98</v>
      </c>
      <c r="L31" s="4">
        <f t="shared" si="64"/>
        <v>0.91</v>
      </c>
      <c r="M31" s="4">
        <f t="shared" si="64"/>
        <v>0.14000000000000001</v>
      </c>
      <c r="N31" s="4">
        <f t="shared" ref="N31:AC31" si="65">MIN(N16:N17)</f>
        <v>0.03</v>
      </c>
      <c r="O31" s="4">
        <f t="shared" si="65"/>
        <v>4.0000000000000001E-3</v>
      </c>
      <c r="P31" s="4">
        <f t="shared" si="65"/>
        <v>0.03</v>
      </c>
      <c r="Q31" s="4">
        <f t="shared" si="65"/>
        <v>63.263263263263269</v>
      </c>
      <c r="R31" s="4">
        <f t="shared" si="65"/>
        <v>0.55011002200440096</v>
      </c>
      <c r="S31" s="4">
        <f t="shared" si="65"/>
        <v>17.229002153625267</v>
      </c>
      <c r="T31" s="4">
        <f t="shared" si="65"/>
        <v>4.6456773664239561</v>
      </c>
      <c r="U31" s="4">
        <f t="shared" si="65"/>
        <v>5.127679212388473E-2</v>
      </c>
      <c r="V31" s="4">
        <f t="shared" si="65"/>
        <v>2.2972002871500359</v>
      </c>
      <c r="W31" s="4">
        <f t="shared" si="65"/>
        <v>5.235235235235236</v>
      </c>
      <c r="X31" s="4">
        <f t="shared" si="65"/>
        <v>4.0816326530612246</v>
      </c>
      <c r="Y31" s="4">
        <f t="shared" si="65"/>
        <v>0.93323761665470206</v>
      </c>
      <c r="Z31" s="4">
        <f t="shared" si="65"/>
        <v>0.14014014014014017</v>
      </c>
      <c r="AA31" s="4">
        <f t="shared" si="65"/>
        <v>3.0030030030030033E-2</v>
      </c>
      <c r="AB31" s="4">
        <f t="shared" si="65"/>
        <v>4.1021433699107782E-3</v>
      </c>
      <c r="AC31" s="4">
        <f t="shared" si="65"/>
        <v>3.0766075274330836E-2</v>
      </c>
      <c r="AG31" s="42"/>
      <c r="AH31" s="11"/>
      <c r="AI31" s="11"/>
      <c r="AJ31" s="11"/>
      <c r="AR31" s="11">
        <f>MIN(AR16:AR17)</f>
        <v>23</v>
      </c>
      <c r="CG31" s="11">
        <f t="shared" ref="CG31:CW31" si="66">MIN(CG16:CG17)</f>
        <v>44.229904075533959</v>
      </c>
      <c r="CH31" s="10">
        <f t="shared" si="66"/>
        <v>0.74458814188813893</v>
      </c>
      <c r="CI31" s="10">
        <f t="shared" si="66"/>
        <v>0.21111111111111111</v>
      </c>
      <c r="CJ31" s="4">
        <f t="shared" si="66"/>
        <v>4.8899999999999997</v>
      </c>
      <c r="CK31" s="11">
        <f t="shared" si="66"/>
        <v>35.54347826086957</v>
      </c>
      <c r="CL31" s="4">
        <f t="shared" si="66"/>
        <v>13.586956521739131</v>
      </c>
      <c r="CM31" s="4">
        <f t="shared" si="66"/>
        <v>10.833333333333334</v>
      </c>
      <c r="CN31" s="4">
        <f t="shared" si="66"/>
        <v>9.0327815644271343</v>
      </c>
      <c r="CO31" s="4">
        <f t="shared" si="66"/>
        <v>13.296703296703296</v>
      </c>
      <c r="CP31" s="4">
        <f t="shared" si="66"/>
        <v>1.5604395604395602</v>
      </c>
      <c r="CQ31" s="10">
        <f t="shared" si="66"/>
        <v>0.86648685361737987</v>
      </c>
      <c r="CR31" s="11">
        <f t="shared" si="66"/>
        <v>12.125</v>
      </c>
      <c r="CS31" s="11">
        <f t="shared" si="66"/>
        <v>865.44987047122129</v>
      </c>
      <c r="CT31" s="11">
        <f t="shared" si="66"/>
        <v>48.860013122638996</v>
      </c>
      <c r="CU31" s="11">
        <f t="shared" si="66"/>
        <v>2.0569123430256737</v>
      </c>
      <c r="CV31" s="11">
        <f t="shared" si="66"/>
        <v>714.22423443952664</v>
      </c>
      <c r="CW31" s="11">
        <f t="shared" si="66"/>
        <v>638.04543473146839</v>
      </c>
      <c r="CX31" s="11"/>
    </row>
    <row r="32" spans="1:102">
      <c r="A32" s="34" t="s">
        <v>206</v>
      </c>
      <c r="D32" s="4">
        <f t="shared" ref="D32:M32" si="67">MAX(D16:D17)</f>
        <v>63.2</v>
      </c>
      <c r="E32" s="4">
        <f t="shared" si="67"/>
        <v>0.56999999999999995</v>
      </c>
      <c r="F32" s="4">
        <f t="shared" si="67"/>
        <v>17.55</v>
      </c>
      <c r="G32" s="4">
        <f t="shared" si="67"/>
        <v>4.8499999999999996</v>
      </c>
      <c r="H32" s="4">
        <f t="shared" si="67"/>
        <v>0.06</v>
      </c>
      <c r="I32" s="4">
        <f t="shared" si="67"/>
        <v>2.77</v>
      </c>
      <c r="J32" s="4">
        <f t="shared" si="67"/>
        <v>5.23</v>
      </c>
      <c r="K32" s="4">
        <f t="shared" si="67"/>
        <v>4.5</v>
      </c>
      <c r="L32" s="4">
        <f t="shared" si="67"/>
        <v>0.95</v>
      </c>
      <c r="M32" s="4">
        <f t="shared" si="67"/>
        <v>0.15</v>
      </c>
      <c r="N32" s="4">
        <f t="shared" ref="N32:AC32" si="68">MAX(N16:N17)</f>
        <v>0.04</v>
      </c>
      <c r="O32" s="4">
        <f t="shared" si="68"/>
        <v>5.0000000000000001E-3</v>
      </c>
      <c r="P32" s="4">
        <f t="shared" si="68"/>
        <v>0.04</v>
      </c>
      <c r="Q32" s="4">
        <f t="shared" si="68"/>
        <v>64.711311660342531</v>
      </c>
      <c r="R32" s="4">
        <f t="shared" si="68"/>
        <v>0.57011402280456092</v>
      </c>
      <c r="S32" s="4">
        <f t="shared" si="68"/>
        <v>17.567567567567568</v>
      </c>
      <c r="T32" s="4">
        <f t="shared" si="68"/>
        <v>4.8548548548548549</v>
      </c>
      <c r="U32" s="4">
        <f t="shared" si="68"/>
        <v>6.0060060060060066E-2</v>
      </c>
      <c r="V32" s="4">
        <f t="shared" si="68"/>
        <v>2.7727727727727731</v>
      </c>
      <c r="W32" s="4">
        <f t="shared" si="68"/>
        <v>5.2609988719105729</v>
      </c>
      <c r="X32" s="4">
        <f t="shared" si="68"/>
        <v>4.5045045045045047</v>
      </c>
      <c r="Y32" s="4">
        <f t="shared" si="68"/>
        <v>0.95095095095095106</v>
      </c>
      <c r="Z32" s="4">
        <f t="shared" si="68"/>
        <v>0.15383037637165417</v>
      </c>
      <c r="AA32" s="4">
        <f t="shared" si="68"/>
        <v>4.1021433699107782E-2</v>
      </c>
      <c r="AB32" s="4">
        <f t="shared" si="68"/>
        <v>5.0050050050050058E-3</v>
      </c>
      <c r="AC32" s="4">
        <f t="shared" si="68"/>
        <v>4.0040040040040047E-2</v>
      </c>
      <c r="AG32" s="42"/>
      <c r="AH32" s="11"/>
      <c r="AI32" s="11"/>
      <c r="AJ32" s="11"/>
      <c r="AR32" s="11">
        <f>MAX(AR16:AR17)</f>
        <v>48</v>
      </c>
      <c r="CG32" s="11">
        <f t="shared" ref="CG32:CW32" si="69">MAX(CG16:CG17)</f>
        <v>47.808355278920487</v>
      </c>
      <c r="CH32" s="10">
        <f t="shared" si="69"/>
        <v>0.75845052981904537</v>
      </c>
      <c r="CI32" s="10">
        <f t="shared" si="69"/>
        <v>0.22864321608040203</v>
      </c>
      <c r="CJ32" s="4">
        <f t="shared" si="69"/>
        <v>5.45</v>
      </c>
      <c r="CK32" s="11">
        <f t="shared" si="69"/>
        <v>41.176470588235297</v>
      </c>
      <c r="CL32" s="4">
        <f t="shared" si="69"/>
        <v>14.352941176470589</v>
      </c>
      <c r="CM32" s="4">
        <f t="shared" si="69"/>
        <v>11.4</v>
      </c>
      <c r="CN32" s="4">
        <f t="shared" si="69"/>
        <v>10.378574777308957</v>
      </c>
      <c r="CO32" s="4">
        <f t="shared" si="69"/>
        <v>15.277777777777779</v>
      </c>
      <c r="CP32" s="4">
        <f t="shared" si="69"/>
        <v>2.125</v>
      </c>
      <c r="CQ32" s="10">
        <f t="shared" si="69"/>
        <v>0.96243636958441237</v>
      </c>
      <c r="CR32" s="11">
        <f t="shared" si="69"/>
        <v>13.571428571428571</v>
      </c>
      <c r="CS32" s="11">
        <f t="shared" si="69"/>
        <v>871.84901072152127</v>
      </c>
      <c r="CT32" s="11">
        <f t="shared" si="69"/>
        <v>50.211961646664406</v>
      </c>
      <c r="CU32" s="11">
        <f t="shared" si="69"/>
        <v>2.1231116454909902</v>
      </c>
      <c r="CV32" s="11">
        <f t="shared" si="69"/>
        <v>720.35043084519089</v>
      </c>
      <c r="CW32" s="11">
        <f t="shared" si="69"/>
        <v>646.42488098654121</v>
      </c>
      <c r="CX32" s="11"/>
    </row>
    <row r="33" spans="1:117">
      <c r="A33" s="34" t="s">
        <v>207</v>
      </c>
      <c r="D33" s="4"/>
      <c r="E33" s="10"/>
      <c r="F33" s="4"/>
      <c r="G33" s="4"/>
      <c r="H33" s="10"/>
      <c r="I33" s="4"/>
      <c r="J33" s="4"/>
      <c r="K33" s="10"/>
      <c r="L33" s="10"/>
      <c r="M33" s="10"/>
      <c r="N33" s="36"/>
      <c r="O33" s="12"/>
      <c r="Q33" s="4"/>
      <c r="R33" s="10"/>
      <c r="S33" s="4"/>
      <c r="T33" s="4"/>
      <c r="U33" s="10"/>
      <c r="V33" s="10"/>
      <c r="W33" s="10"/>
      <c r="X33" s="10"/>
      <c r="Y33" s="10"/>
      <c r="Z33" s="10"/>
      <c r="AA33" s="10"/>
      <c r="AB33" s="10"/>
      <c r="AC33" s="10"/>
      <c r="AG33" s="42"/>
      <c r="AH33" s="11"/>
      <c r="AI33" s="11"/>
      <c r="AJ33" s="11"/>
      <c r="AR33" s="11"/>
      <c r="CG33" s="46">
        <f>COUNT(CG16:CG17,#REF!)</f>
        <v>2</v>
      </c>
      <c r="CH33" s="46">
        <f>COUNT(CH16:CH17,#REF!)</f>
        <v>2</v>
      </c>
      <c r="CI33" s="46">
        <f>COUNT(CI16:CI17,#REF!)</f>
        <v>2</v>
      </c>
      <c r="CJ33" s="46">
        <f>COUNT(CJ16:CJ17,#REF!)</f>
        <v>2</v>
      </c>
      <c r="CK33" s="46">
        <f>COUNT(CK16:CK17,#REF!)</f>
        <v>2</v>
      </c>
      <c r="CL33" s="46">
        <f>COUNT(CL16:CL17,#REF!)</f>
        <v>2</v>
      </c>
      <c r="CM33" s="46">
        <f>COUNT(CM16:CM17,#REF!)</f>
        <v>2</v>
      </c>
      <c r="CN33" s="46">
        <f>COUNT(CN16:CN17,#REF!)</f>
        <v>2</v>
      </c>
      <c r="CO33" s="46">
        <f>COUNT(CO16:CO17,#REF!)</f>
        <v>2</v>
      </c>
      <c r="CP33" s="46">
        <f>COUNT(CP16:CP17,#REF!)</f>
        <v>2</v>
      </c>
      <c r="CQ33" s="46">
        <f>COUNT(CQ16:CQ17,#REF!)</f>
        <v>2</v>
      </c>
      <c r="CR33" s="46">
        <f>COUNT(CR16:CR17,#REF!)</f>
        <v>2</v>
      </c>
      <c r="CS33" s="46">
        <f>COUNT(CS16:CS17,#REF!)</f>
        <v>2</v>
      </c>
      <c r="CT33" s="46">
        <f>COUNT(CT16:CT17,#REF!)</f>
        <v>2</v>
      </c>
      <c r="CU33" s="46">
        <f>COUNT(CU16:CU17,#REF!)</f>
        <v>2</v>
      </c>
      <c r="CV33" s="46">
        <f>COUNT(CV16:CV17,#REF!)</f>
        <v>2</v>
      </c>
      <c r="CW33" s="46">
        <f>COUNT(CW16:CW17,#REF!)</f>
        <v>2</v>
      </c>
      <c r="CX33" s="11"/>
    </row>
    <row r="34" spans="1:117">
      <c r="A34" s="3"/>
      <c r="Q34" s="4"/>
      <c r="R34" s="10"/>
      <c r="S34" s="4"/>
      <c r="T34" s="4"/>
      <c r="U34" s="10"/>
      <c r="V34" s="10"/>
      <c r="W34" s="10"/>
      <c r="X34" s="10"/>
      <c r="Y34" s="10"/>
      <c r="Z34" s="10"/>
      <c r="AA34" s="10"/>
      <c r="AB34" s="10"/>
      <c r="AC34" s="10"/>
      <c r="AG34" s="42"/>
      <c r="AH34" s="11"/>
      <c r="AI34" s="11"/>
      <c r="AJ34" s="11"/>
      <c r="CG34" s="11"/>
      <c r="CH34" s="10"/>
      <c r="CI34" s="10"/>
      <c r="CJ34" s="4"/>
      <c r="CK34" s="4"/>
      <c r="CL34" s="4"/>
      <c r="CM34" s="4"/>
      <c r="CN34" s="4"/>
      <c r="CO34" s="4"/>
      <c r="CP34" s="4"/>
      <c r="CQ34" s="10"/>
      <c r="CR34" s="4"/>
      <c r="CS34" s="37"/>
      <c r="CT34" s="4"/>
      <c r="CU34" s="4"/>
      <c r="CV34" s="11"/>
      <c r="CW34" s="11"/>
    </row>
    <row r="35" spans="1:117" s="44" customFormat="1" ht="14">
      <c r="A35" s="34" t="s">
        <v>191</v>
      </c>
      <c r="Q35" s="4"/>
      <c r="R35" s="10"/>
      <c r="S35" s="4"/>
      <c r="T35" s="4"/>
      <c r="U35" s="10"/>
      <c r="V35" s="10"/>
      <c r="W35" s="10"/>
      <c r="X35" s="10"/>
      <c r="Y35" s="10"/>
      <c r="Z35" s="10"/>
      <c r="AA35" s="10"/>
      <c r="AB35" s="10"/>
      <c r="AC35" s="10"/>
      <c r="AG35" s="45"/>
      <c r="AH35" s="46"/>
      <c r="AI35" s="46"/>
      <c r="AJ35" s="46"/>
      <c r="CG35" s="46"/>
      <c r="CH35" s="47"/>
      <c r="CI35" s="47"/>
      <c r="CJ35" s="48"/>
      <c r="CK35" s="48"/>
      <c r="CL35" s="48"/>
      <c r="CM35" s="48"/>
      <c r="CN35" s="48"/>
      <c r="CO35" s="48"/>
      <c r="CP35" s="48"/>
      <c r="CQ35" s="47"/>
      <c r="CR35" s="48"/>
      <c r="CS35" s="49"/>
      <c r="CT35" s="48"/>
      <c r="CU35" s="48"/>
      <c r="CV35" s="46"/>
      <c r="CW35" s="46"/>
    </row>
    <row r="36" spans="1:117" s="44" customFormat="1" ht="14">
      <c r="A36" s="34" t="s">
        <v>192</v>
      </c>
      <c r="Q36" s="4"/>
      <c r="R36" s="10"/>
      <c r="S36" s="4"/>
      <c r="T36" s="4"/>
      <c r="U36" s="10"/>
      <c r="V36" s="10"/>
      <c r="W36" s="10"/>
      <c r="X36" s="10"/>
      <c r="Y36" s="10"/>
      <c r="Z36" s="10"/>
      <c r="AA36" s="10"/>
      <c r="AB36" s="10"/>
      <c r="AC36" s="10"/>
      <c r="AG36" s="45"/>
      <c r="AH36" s="46"/>
      <c r="AI36" s="46"/>
      <c r="AJ36" s="46"/>
      <c r="CG36" s="46"/>
      <c r="CH36" s="47"/>
      <c r="CI36" s="47"/>
      <c r="CJ36" s="48"/>
      <c r="CK36" s="48"/>
      <c r="CL36" s="48"/>
      <c r="CM36" s="48"/>
      <c r="CN36" s="48"/>
      <c r="CO36" s="48"/>
      <c r="CP36" s="48"/>
      <c r="CQ36" s="47"/>
      <c r="CR36" s="48"/>
      <c r="CS36" s="49"/>
      <c r="CT36" s="48"/>
      <c r="CU36" s="48"/>
      <c r="CV36" s="46"/>
      <c r="CW36" s="46"/>
    </row>
    <row r="37" spans="1:117" s="3" customFormat="1" ht="14" customHeight="1">
      <c r="A37" s="314" t="s">
        <v>138</v>
      </c>
      <c r="B37" s="3" t="s">
        <v>92</v>
      </c>
      <c r="C37" s="3" t="s">
        <v>56</v>
      </c>
      <c r="D37" s="315">
        <v>49.17</v>
      </c>
      <c r="E37" s="316">
        <v>1.5449999999999999</v>
      </c>
      <c r="F37" s="315">
        <v>14.29</v>
      </c>
      <c r="G37" s="315">
        <v>13.510000000000002</v>
      </c>
      <c r="H37" s="316">
        <v>0.157</v>
      </c>
      <c r="I37" s="315">
        <v>5.97</v>
      </c>
      <c r="J37" s="315">
        <v>9.59</v>
      </c>
      <c r="K37" s="316">
        <v>3.1</v>
      </c>
      <c r="L37" s="316">
        <v>1.07</v>
      </c>
      <c r="M37" s="316">
        <v>0.1</v>
      </c>
      <c r="N37" s="317"/>
      <c r="O37" s="317"/>
      <c r="P37" s="317"/>
      <c r="Q37" s="4">
        <f t="shared" ref="Q37:Q65" si="70">100*D37/(AG37-AF37)</f>
        <v>49.903582665178121</v>
      </c>
      <c r="R37" s="10">
        <f t="shared" ref="R37:R65" si="71">100*E37/(AG$3-AF$3)</f>
        <v>1.5453090618123626</v>
      </c>
      <c r="S37" s="4">
        <f t="shared" ref="S37:S65" si="72">100*F37/(AG37-AF37)</f>
        <v>14.503196995838831</v>
      </c>
      <c r="T37" s="4">
        <f t="shared" ref="T37:T65" si="73">100*G37/(AG37-AF37)</f>
        <v>13.711559930985489</v>
      </c>
      <c r="U37" s="10">
        <f t="shared" ref="U37:U65" si="74">100*H37/(AG37-AF37)</f>
        <v>0.15934233228458336</v>
      </c>
      <c r="V37" s="10">
        <f t="shared" ref="V37:V65" si="75">100*I37/(AG37-AF37)</f>
        <v>6.0590683040698261</v>
      </c>
      <c r="W37" s="10">
        <f t="shared" ref="W37:W65" si="76">100*J37/(AG37-AF37)</f>
        <v>9.7330762204404753</v>
      </c>
      <c r="X37" s="10">
        <f t="shared" ref="X37:X65" si="77">100*K37/(AG37-AF37)</f>
        <v>3.1462498731350856</v>
      </c>
      <c r="Y37" s="10">
        <f t="shared" ref="Y37:Y65" si="78">100*L37/(AG37-AF37)</f>
        <v>1.0859636658885619</v>
      </c>
      <c r="Z37" s="10">
        <f t="shared" ref="Z37:Z65" si="79">100*M37/(AG37-AF37)</f>
        <v>0.10149193139145438</v>
      </c>
      <c r="AA37" s="10">
        <f t="shared" ref="AA37:AA65" si="80">100*N37/(AG37-AF37)</f>
        <v>0</v>
      </c>
      <c r="AB37" s="10">
        <f t="shared" ref="AB37:AB65" si="81">100*O37/(AG37-AF37)</f>
        <v>0</v>
      </c>
      <c r="AC37" s="10">
        <f t="shared" ref="AC37:AC65" si="82">100*P37/(AG37-AF37)</f>
        <v>0</v>
      </c>
      <c r="AD37" s="317"/>
      <c r="AE37" s="317"/>
      <c r="AF37" s="315">
        <v>1.44</v>
      </c>
      <c r="AG37" s="315">
        <v>99.97</v>
      </c>
      <c r="AH37" s="11">
        <f t="shared" ref="AH37:AH59" si="83">L37*39.1*2/(39.1*2+16)*10000</f>
        <v>8882.5902335456467</v>
      </c>
      <c r="AI37" s="11">
        <f t="shared" ref="AI37:AI59" si="84">E37*47.867/(47.867+32)*10000</f>
        <v>9259.7086406150211</v>
      </c>
      <c r="AJ37" s="11">
        <f t="shared" ref="AJ37:AJ49" si="85">M37*2*30.97/(2*30.97+16*5)*10000</f>
        <v>436.3815696773284</v>
      </c>
      <c r="AK37" s="317">
        <v>220</v>
      </c>
      <c r="AL37" s="317">
        <v>12</v>
      </c>
      <c r="AM37" s="317">
        <v>41</v>
      </c>
      <c r="AN37" s="317">
        <v>447</v>
      </c>
      <c r="AO37" s="317">
        <v>40</v>
      </c>
      <c r="AP37" s="317">
        <v>23</v>
      </c>
      <c r="AQ37" s="317">
        <v>51</v>
      </c>
      <c r="AR37" s="318">
        <v>52.6</v>
      </c>
      <c r="AS37" s="318">
        <v>72.2</v>
      </c>
      <c r="AT37" s="317">
        <v>21</v>
      </c>
      <c r="AU37" s="317">
        <v>38</v>
      </c>
      <c r="AV37" s="317">
        <v>225</v>
      </c>
      <c r="AW37" s="317">
        <v>41.1</v>
      </c>
      <c r="AX37" s="317">
        <v>1.1000000000000001</v>
      </c>
      <c r="AY37" s="315">
        <v>15.2</v>
      </c>
      <c r="AZ37" s="315">
        <v>58</v>
      </c>
      <c r="BA37" s="315">
        <v>9.61</v>
      </c>
      <c r="BB37" s="315">
        <v>42.6</v>
      </c>
      <c r="BC37" s="315">
        <v>9.42</v>
      </c>
      <c r="BD37" s="315">
        <v>1.45</v>
      </c>
      <c r="BE37" s="315">
        <v>8.59</v>
      </c>
      <c r="BF37" s="315">
        <v>1.36</v>
      </c>
      <c r="BG37" s="315">
        <v>7.77</v>
      </c>
      <c r="BH37" s="315">
        <v>1.57</v>
      </c>
      <c r="BI37" s="315">
        <v>4.79</v>
      </c>
      <c r="BJ37" s="316">
        <v>0.75900000000000001</v>
      </c>
      <c r="BK37" s="316">
        <v>4.9400000000000004</v>
      </c>
      <c r="BL37" s="316">
        <v>0.73499999999999999</v>
      </c>
      <c r="BM37" s="317">
        <v>4</v>
      </c>
      <c r="BN37" s="317">
        <v>0.9</v>
      </c>
      <c r="BO37" s="317">
        <v>1</v>
      </c>
      <c r="BP37" s="317">
        <v>4.4000000000000004</v>
      </c>
      <c r="BQ37" s="317">
        <v>0.16</v>
      </c>
      <c r="BR37" s="317"/>
      <c r="BS37" s="317">
        <v>1.5</v>
      </c>
      <c r="BT37" s="317">
        <v>3.1</v>
      </c>
      <c r="BU37" s="317">
        <v>13</v>
      </c>
      <c r="BV37" s="317" t="s">
        <v>132</v>
      </c>
      <c r="BW37" s="317" t="s">
        <v>130</v>
      </c>
      <c r="BX37" s="317">
        <v>1.2</v>
      </c>
      <c r="BY37" s="317">
        <v>0.28999999999999998</v>
      </c>
      <c r="BZ37" s="317">
        <v>9</v>
      </c>
      <c r="CA37" s="317">
        <v>0.3</v>
      </c>
      <c r="CB37" s="317"/>
      <c r="CC37" s="317">
        <v>0.06</v>
      </c>
      <c r="CD37" s="317">
        <v>0.2</v>
      </c>
      <c r="CE37" s="317">
        <v>0.09</v>
      </c>
      <c r="CF37" s="317">
        <v>7.0000000000000007E-2</v>
      </c>
      <c r="CG37" s="11">
        <f t="shared" ref="CG37:CG58" si="86">100*(I37/40.31)/(G37/0.89981/71.85+I37/40.31)</f>
        <v>41.477168565605261</v>
      </c>
      <c r="CH37" s="10">
        <f t="shared" ref="CH37:CH58" si="87">(F37/133.96)/(J37/56.08+K37/61.98+L37/94.2)</f>
        <v>0.45904697001547867</v>
      </c>
      <c r="CI37" s="10">
        <f t="shared" ref="CI37:CI58" si="88">L37/K37</f>
        <v>0.34516129032258064</v>
      </c>
      <c r="CJ37" s="4">
        <f t="shared" ref="CJ37:CJ58" si="89">K37+L37</f>
        <v>4.17</v>
      </c>
      <c r="CK37" s="4">
        <f t="shared" ref="CK37:CK58" si="90">AV37/AW37</f>
        <v>5.4744525547445253</v>
      </c>
      <c r="CL37" s="4"/>
      <c r="CM37" s="4">
        <f t="shared" ref="CM37:CM58" si="91">BP37/BQ37</f>
        <v>27.5</v>
      </c>
      <c r="CN37" s="4">
        <f t="shared" ref="CN37:CN58" si="92">(AY37/0.237)/(BK37/0.161)</f>
        <v>2.0902304446608242</v>
      </c>
      <c r="CO37" s="4">
        <f t="shared" ref="CO37:CO58" si="93">AY37/BK37</f>
        <v>3.0769230769230766</v>
      </c>
      <c r="CP37" s="4">
        <f t="shared" ref="CP37:CP58" si="94">BG37/BK37</f>
        <v>1.5728744939271253</v>
      </c>
      <c r="CQ37" s="10">
        <f t="shared" ref="CQ37:CQ58" si="95">(BD37/0.0563)/(((BC37/0.148)*(BE37/0.199))^(1/2))</f>
        <v>0.49135453636688425</v>
      </c>
      <c r="CR37" s="4">
        <f t="shared" ref="CR37:CR58" si="96">AN37/AM37</f>
        <v>10.902439024390244</v>
      </c>
      <c r="CS37" s="40">
        <f t="shared" ref="CS37:CS49" si="97">(26400*D37/100-4800)/(12.4*D37/100-LN(M37/100)-3.97)-273.15</f>
        <v>632.33192052059803</v>
      </c>
      <c r="CT37" s="4">
        <f t="shared" ref="CT37:CT49" si="98">D37*28.086/(28.086+15.999*2)+F37*26.982*2/(26.982*2+15.999*3)+G37*55.845*2/(55.845*2+15.999*3)+J37*40.078/(40.078+15.999)+I37*32.99*2/(22.99*2+15.999)+L37*39.098*2/(39.098*2+15.999)+O37*51.996*2/(51.996*2+15.999*3)+E37*47.867/(47.867+15.999*2)+H37*54.938/(54.938+15.999)+M37*30.974*2/(30.974*2+15.999*5)+P37*87.62/(87.62+15.999)+N37*137.328/(137.328+15.999)</f>
        <v>55.185560572048203</v>
      </c>
      <c r="CU37" s="4">
        <f t="shared" ref="CU37:CU49" si="99">(K37*22.99*2/(22.99*2+15.999)+L37*39.098*2/(39.098*2+15.999)+2*J37*40.078/(40.078+15.999))/((F37*2*26.982/(26.982*2+15.999*3))*(D37*28.086/(28.086+15.999*2)))*CT37</f>
        <v>5.3638103538731619</v>
      </c>
      <c r="CV37" s="11"/>
      <c r="CW37" s="11"/>
      <c r="CX37" s="10"/>
      <c r="CY37" s="10"/>
      <c r="CZ37" s="10"/>
      <c r="DA37" s="4"/>
      <c r="DB37" s="31"/>
      <c r="DC37" s="31"/>
      <c r="DD37" s="32"/>
      <c r="DE37" s="32"/>
      <c r="DF37" s="11"/>
      <c r="DG37" s="11"/>
      <c r="DH37" s="317"/>
      <c r="DI37" s="317"/>
      <c r="DJ37" s="317"/>
      <c r="DK37" s="317"/>
      <c r="DL37" s="317"/>
      <c r="DM37" s="317"/>
    </row>
    <row r="38" spans="1:117" s="3" customFormat="1" ht="14" customHeight="1">
      <c r="A38" s="314" t="s">
        <v>139</v>
      </c>
      <c r="B38" s="3" t="s">
        <v>92</v>
      </c>
      <c r="C38" s="3" t="s">
        <v>56</v>
      </c>
      <c r="D38" s="315">
        <v>49.34</v>
      </c>
      <c r="E38" s="316">
        <v>1.026</v>
      </c>
      <c r="F38" s="315">
        <v>18.25</v>
      </c>
      <c r="G38" s="315">
        <v>11.072000000000001</v>
      </c>
      <c r="H38" s="316">
        <v>0.109</v>
      </c>
      <c r="I38" s="315">
        <v>4.8600000000000003</v>
      </c>
      <c r="J38" s="315">
        <v>8.18</v>
      </c>
      <c r="K38" s="316">
        <v>3.61</v>
      </c>
      <c r="L38" s="316">
        <v>2.06</v>
      </c>
      <c r="M38" s="316">
        <v>0.12</v>
      </c>
      <c r="N38" s="317"/>
      <c r="O38" s="317"/>
      <c r="P38" s="317"/>
      <c r="Q38" s="4">
        <f t="shared" si="70"/>
        <v>50.020275750202757</v>
      </c>
      <c r="R38" s="10">
        <f t="shared" si="71"/>
        <v>1.0262052410482099</v>
      </c>
      <c r="S38" s="4">
        <f t="shared" si="72"/>
        <v>18.501622060016221</v>
      </c>
      <c r="T38" s="4">
        <f t="shared" si="73"/>
        <v>11.224655312246554</v>
      </c>
      <c r="U38" s="10">
        <f t="shared" si="74"/>
        <v>0.11050283860502839</v>
      </c>
      <c r="V38" s="10">
        <f t="shared" si="75"/>
        <v>4.9270072992700733</v>
      </c>
      <c r="W38" s="10">
        <f t="shared" si="76"/>
        <v>8.2927818329278189</v>
      </c>
      <c r="X38" s="10">
        <f t="shared" si="77"/>
        <v>3.6597729115977291</v>
      </c>
      <c r="Y38" s="10">
        <f t="shared" si="78"/>
        <v>2.0884022708840226</v>
      </c>
      <c r="Z38" s="10">
        <f t="shared" si="79"/>
        <v>0.12165450121654502</v>
      </c>
      <c r="AA38" s="10">
        <f t="shared" si="80"/>
        <v>0</v>
      </c>
      <c r="AB38" s="10">
        <f t="shared" si="81"/>
        <v>0</v>
      </c>
      <c r="AC38" s="10">
        <f t="shared" si="82"/>
        <v>0</v>
      </c>
      <c r="AD38" s="317"/>
      <c r="AE38" s="317"/>
      <c r="AF38" s="315">
        <v>1.86</v>
      </c>
      <c r="AG38" s="315">
        <v>100.5</v>
      </c>
      <c r="AH38" s="11">
        <f t="shared" si="83"/>
        <v>17101.061571125265</v>
      </c>
      <c r="AI38" s="11">
        <f t="shared" si="84"/>
        <v>6149.1657380394918</v>
      </c>
      <c r="AJ38" s="11">
        <f t="shared" si="85"/>
        <v>523.65788361279408</v>
      </c>
      <c r="AK38" s="317">
        <v>380</v>
      </c>
      <c r="AL38" s="317">
        <v>26</v>
      </c>
      <c r="AM38" s="317">
        <v>28</v>
      </c>
      <c r="AN38" s="317">
        <v>237</v>
      </c>
      <c r="AO38" s="317">
        <v>57</v>
      </c>
      <c r="AP38" s="317">
        <v>21.3</v>
      </c>
      <c r="AQ38" s="317">
        <v>50</v>
      </c>
      <c r="AR38" s="318">
        <v>29.6</v>
      </c>
      <c r="AS38" s="318">
        <v>52.3</v>
      </c>
      <c r="AT38" s="317">
        <v>20</v>
      </c>
      <c r="AU38" s="317">
        <v>104</v>
      </c>
      <c r="AV38" s="317">
        <v>406</v>
      </c>
      <c r="AW38" s="317">
        <v>22.6</v>
      </c>
      <c r="AX38" s="317">
        <v>3.5</v>
      </c>
      <c r="AY38" s="315">
        <v>9.2799999999999994</v>
      </c>
      <c r="AZ38" s="315">
        <v>31.6</v>
      </c>
      <c r="BA38" s="315">
        <v>5.15</v>
      </c>
      <c r="BB38" s="315">
        <v>23.5</v>
      </c>
      <c r="BC38" s="315">
        <v>5.41</v>
      </c>
      <c r="BD38" s="315">
        <v>1.05</v>
      </c>
      <c r="BE38" s="315">
        <v>5</v>
      </c>
      <c r="BF38" s="315">
        <v>0.79</v>
      </c>
      <c r="BG38" s="315">
        <v>4.4400000000000004</v>
      </c>
      <c r="BH38" s="315">
        <v>0.88</v>
      </c>
      <c r="BI38" s="315">
        <v>2.64</v>
      </c>
      <c r="BJ38" s="316">
        <v>0.39800000000000002</v>
      </c>
      <c r="BK38" s="316">
        <v>2.5099999999999998</v>
      </c>
      <c r="BL38" s="316">
        <v>0.35699999999999998</v>
      </c>
      <c r="BM38" s="317">
        <v>2</v>
      </c>
      <c r="BN38" s="317">
        <v>0.51</v>
      </c>
      <c r="BO38" s="317">
        <v>0.18</v>
      </c>
      <c r="BP38" s="317">
        <v>2.7</v>
      </c>
      <c r="BQ38" s="317">
        <v>0.19</v>
      </c>
      <c r="BR38" s="317"/>
      <c r="BS38" s="317">
        <v>0.9</v>
      </c>
      <c r="BT38" s="317">
        <v>2</v>
      </c>
      <c r="BU38" s="317">
        <v>8</v>
      </c>
      <c r="BV38" s="317" t="s">
        <v>132</v>
      </c>
      <c r="BW38" s="317" t="s">
        <v>130</v>
      </c>
      <c r="BX38" s="317">
        <v>1.1000000000000001</v>
      </c>
      <c r="BY38" s="317">
        <v>7.0000000000000007E-2</v>
      </c>
      <c r="BZ38" s="317">
        <v>6</v>
      </c>
      <c r="CA38" s="317" t="s">
        <v>131</v>
      </c>
      <c r="CB38" s="317"/>
      <c r="CC38" s="317">
        <v>0.08</v>
      </c>
      <c r="CD38" s="317">
        <v>0.2</v>
      </c>
      <c r="CE38" s="317" t="s">
        <v>134</v>
      </c>
      <c r="CF38" s="317">
        <v>0.3</v>
      </c>
      <c r="CG38" s="11">
        <f t="shared" si="86"/>
        <v>41.314683661177504</v>
      </c>
      <c r="CH38" s="10">
        <f t="shared" si="87"/>
        <v>0.60287238065731363</v>
      </c>
      <c r="CI38" s="10">
        <f t="shared" si="88"/>
        <v>0.5706371191135734</v>
      </c>
      <c r="CJ38" s="4">
        <f t="shared" si="89"/>
        <v>5.67</v>
      </c>
      <c r="CK38" s="4">
        <f t="shared" si="90"/>
        <v>17.964601769911503</v>
      </c>
      <c r="CL38" s="4"/>
      <c r="CM38" s="4">
        <f t="shared" si="91"/>
        <v>14.210526315789474</v>
      </c>
      <c r="CN38" s="4">
        <f t="shared" si="92"/>
        <v>2.5116075781263136</v>
      </c>
      <c r="CO38" s="4">
        <f t="shared" si="93"/>
        <v>3.6972111553784863</v>
      </c>
      <c r="CP38" s="4">
        <f t="shared" si="94"/>
        <v>1.7689243027888448</v>
      </c>
      <c r="CQ38" s="10">
        <f t="shared" si="95"/>
        <v>0.61539599481508533</v>
      </c>
      <c r="CR38" s="4">
        <f t="shared" si="96"/>
        <v>8.4642857142857135</v>
      </c>
      <c r="CS38" s="40">
        <f t="shared" si="97"/>
        <v>653.84308279482173</v>
      </c>
      <c r="CT38" s="4">
        <f t="shared" si="98"/>
        <v>53.948653226539626</v>
      </c>
      <c r="CU38" s="4">
        <f t="shared" si="99"/>
        <v>3.8942287238440252</v>
      </c>
      <c r="CV38" s="11"/>
      <c r="CW38" s="11"/>
      <c r="CX38" s="10"/>
      <c r="CY38" s="10"/>
      <c r="CZ38" s="10"/>
      <c r="DA38" s="4"/>
      <c r="DB38" s="31"/>
      <c r="DC38" s="31"/>
      <c r="DD38" s="32"/>
      <c r="DE38" s="32"/>
      <c r="DF38" s="11"/>
      <c r="DG38" s="11"/>
      <c r="DH38" s="317"/>
      <c r="DI38" s="317"/>
      <c r="DJ38" s="317"/>
      <c r="DK38" s="317"/>
      <c r="DL38" s="317"/>
      <c r="DM38" s="317"/>
    </row>
    <row r="39" spans="1:117" s="3" customFormat="1" ht="14" customHeight="1">
      <c r="A39" s="314" t="s">
        <v>142</v>
      </c>
      <c r="B39" s="3" t="s">
        <v>92</v>
      </c>
      <c r="C39" s="3" t="s">
        <v>56</v>
      </c>
      <c r="D39" s="315">
        <v>49.72</v>
      </c>
      <c r="E39" s="316">
        <v>2.004</v>
      </c>
      <c r="F39" s="315">
        <v>15.47</v>
      </c>
      <c r="G39" s="315">
        <v>11.713000000000001</v>
      </c>
      <c r="H39" s="316">
        <v>0.126</v>
      </c>
      <c r="I39" s="315">
        <v>5.15</v>
      </c>
      <c r="J39" s="315">
        <v>9.57</v>
      </c>
      <c r="K39" s="316">
        <v>3.05</v>
      </c>
      <c r="L39" s="316">
        <v>0.8</v>
      </c>
      <c r="M39" s="316">
        <v>0.11</v>
      </c>
      <c r="N39" s="317"/>
      <c r="O39" s="317"/>
      <c r="P39" s="317"/>
      <c r="Q39" s="4">
        <f t="shared" si="70"/>
        <v>50.869654184571317</v>
      </c>
      <c r="R39" s="10">
        <f t="shared" si="71"/>
        <v>2.0044008801760356</v>
      </c>
      <c r="S39" s="4">
        <f t="shared" si="72"/>
        <v>15.827706159197874</v>
      </c>
      <c r="T39" s="4">
        <f t="shared" si="73"/>
        <v>11.983834663392678</v>
      </c>
      <c r="U39" s="10">
        <f t="shared" si="74"/>
        <v>0.12891344383057091</v>
      </c>
      <c r="V39" s="10">
        <f t="shared" si="75"/>
        <v>5.2690812359320649</v>
      </c>
      <c r="W39" s="10">
        <f t="shared" si="76"/>
        <v>9.7912829957028862</v>
      </c>
      <c r="X39" s="10">
        <f t="shared" si="77"/>
        <v>3.1205238387558829</v>
      </c>
      <c r="Y39" s="10">
        <f t="shared" si="78"/>
        <v>0.8184980560671169</v>
      </c>
      <c r="Z39" s="10">
        <f t="shared" si="79"/>
        <v>0.11254348270922857</v>
      </c>
      <c r="AA39" s="10">
        <f t="shared" si="80"/>
        <v>0</v>
      </c>
      <c r="AB39" s="10">
        <f t="shared" si="81"/>
        <v>0</v>
      </c>
      <c r="AC39" s="10">
        <f t="shared" si="82"/>
        <v>0</v>
      </c>
      <c r="AD39" s="317"/>
      <c r="AE39" s="317"/>
      <c r="AF39" s="315">
        <v>1.95</v>
      </c>
      <c r="AG39" s="315">
        <v>99.69</v>
      </c>
      <c r="AH39" s="11">
        <f t="shared" si="83"/>
        <v>6641.1889596602969</v>
      </c>
      <c r="AI39" s="11">
        <f t="shared" si="84"/>
        <v>12010.651207632691</v>
      </c>
      <c r="AJ39" s="11">
        <f t="shared" si="85"/>
        <v>480.01972664506127</v>
      </c>
      <c r="AK39" s="317">
        <v>63</v>
      </c>
      <c r="AL39" s="317">
        <v>14</v>
      </c>
      <c r="AM39" s="317">
        <v>38</v>
      </c>
      <c r="AN39" s="317">
        <v>510</v>
      </c>
      <c r="AO39" s="317">
        <v>33</v>
      </c>
      <c r="AP39" s="317">
        <v>20.6</v>
      </c>
      <c r="AQ39" s="317">
        <v>58</v>
      </c>
      <c r="AR39" s="318">
        <v>103</v>
      </c>
      <c r="AS39" s="318">
        <v>55.3</v>
      </c>
      <c r="AT39" s="317">
        <v>25</v>
      </c>
      <c r="AU39" s="317">
        <v>59</v>
      </c>
      <c r="AV39" s="317">
        <v>174</v>
      </c>
      <c r="AW39" s="317">
        <v>52</v>
      </c>
      <c r="AX39" s="317">
        <v>1.7</v>
      </c>
      <c r="AY39" s="315">
        <v>18</v>
      </c>
      <c r="AZ39" s="315">
        <v>71.599999999999994</v>
      </c>
      <c r="BA39" s="315">
        <v>11.8</v>
      </c>
      <c r="BB39" s="315">
        <v>51.6</v>
      </c>
      <c r="BC39" s="315">
        <v>11.8</v>
      </c>
      <c r="BD39" s="315">
        <v>2.0099999999999998</v>
      </c>
      <c r="BE39" s="315">
        <v>10.8</v>
      </c>
      <c r="BF39" s="315">
        <v>1.74</v>
      </c>
      <c r="BG39" s="315">
        <v>9.7899999999999991</v>
      </c>
      <c r="BH39" s="315">
        <v>1.96</v>
      </c>
      <c r="BI39" s="315">
        <v>6.15</v>
      </c>
      <c r="BJ39" s="316">
        <v>0.95099999999999996</v>
      </c>
      <c r="BK39" s="316">
        <v>6.36</v>
      </c>
      <c r="BL39" s="316">
        <v>0.96399999999999997</v>
      </c>
      <c r="BM39" s="317" t="s">
        <v>137</v>
      </c>
      <c r="BN39" s="317">
        <v>1.18</v>
      </c>
      <c r="BO39" s="317">
        <v>1.94</v>
      </c>
      <c r="BP39" s="317">
        <v>6.1</v>
      </c>
      <c r="BQ39" s="317">
        <v>0.19</v>
      </c>
      <c r="BR39" s="317"/>
      <c r="BS39" s="317">
        <v>1.8</v>
      </c>
      <c r="BT39" s="317">
        <v>4.4000000000000004</v>
      </c>
      <c r="BU39" s="317">
        <v>16</v>
      </c>
      <c r="BV39" s="317">
        <v>3.5</v>
      </c>
      <c r="BW39" s="317" t="s">
        <v>130</v>
      </c>
      <c r="BX39" s="317">
        <v>1.1000000000000001</v>
      </c>
      <c r="BY39" s="317">
        <v>0.08</v>
      </c>
      <c r="BZ39" s="317">
        <v>9</v>
      </c>
      <c r="CA39" s="317">
        <v>0.2</v>
      </c>
      <c r="CB39" s="317"/>
      <c r="CC39" s="317">
        <v>0.05</v>
      </c>
      <c r="CD39" s="317">
        <v>0.6</v>
      </c>
      <c r="CE39" s="317" t="s">
        <v>134</v>
      </c>
      <c r="CF39" s="317">
        <v>0.11</v>
      </c>
      <c r="CG39" s="11">
        <f t="shared" si="86"/>
        <v>41.355382022218834</v>
      </c>
      <c r="CH39" s="10">
        <f t="shared" si="87"/>
        <v>0.50572233561764757</v>
      </c>
      <c r="CI39" s="10">
        <f t="shared" si="88"/>
        <v>0.26229508196721313</v>
      </c>
      <c r="CJ39" s="4">
        <f t="shared" si="89"/>
        <v>3.8499999999999996</v>
      </c>
      <c r="CK39" s="4">
        <f t="shared" si="90"/>
        <v>3.3461538461538463</v>
      </c>
      <c r="CL39" s="4"/>
      <c r="CM39" s="4">
        <f t="shared" si="91"/>
        <v>32.105263157894733</v>
      </c>
      <c r="CN39" s="4">
        <f t="shared" si="92"/>
        <v>1.9226176259851924</v>
      </c>
      <c r="CO39" s="4">
        <f t="shared" si="93"/>
        <v>2.8301886792452828</v>
      </c>
      <c r="CP39" s="4">
        <f t="shared" si="94"/>
        <v>1.5393081761006286</v>
      </c>
      <c r="CQ39" s="10">
        <f t="shared" si="95"/>
        <v>0.54274043335163291</v>
      </c>
      <c r="CR39" s="4">
        <f t="shared" si="96"/>
        <v>13.421052631578947</v>
      </c>
      <c r="CS39" s="40">
        <f t="shared" si="97"/>
        <v>651.17660947434672</v>
      </c>
      <c r="CT39" s="4">
        <f t="shared" si="98"/>
        <v>53.954395020376822</v>
      </c>
      <c r="CU39" s="4">
        <f t="shared" si="99"/>
        <v>4.7083803959109733</v>
      </c>
      <c r="CV39" s="11"/>
      <c r="CW39" s="11"/>
      <c r="CX39" s="10"/>
      <c r="CY39" s="10"/>
      <c r="CZ39" s="10"/>
      <c r="DA39" s="4"/>
      <c r="DB39" s="31"/>
      <c r="DC39" s="31"/>
      <c r="DD39" s="32"/>
      <c r="DE39" s="32"/>
      <c r="DF39" s="11"/>
      <c r="DG39" s="11"/>
      <c r="DH39" s="317"/>
      <c r="DI39" s="317"/>
      <c r="DJ39" s="317"/>
      <c r="DK39" s="317"/>
      <c r="DL39" s="317"/>
      <c r="DM39" s="317"/>
    </row>
    <row r="40" spans="1:117" s="3" customFormat="1" ht="14" customHeight="1">
      <c r="A40" s="314" t="s">
        <v>143</v>
      </c>
      <c r="B40" s="3" t="s">
        <v>92</v>
      </c>
      <c r="C40" s="3" t="s">
        <v>56</v>
      </c>
      <c r="D40" s="315">
        <v>58.85</v>
      </c>
      <c r="E40" s="316">
        <v>0.94099999999999995</v>
      </c>
      <c r="F40" s="315">
        <v>15.57</v>
      </c>
      <c r="G40" s="315">
        <v>8.0730000000000004</v>
      </c>
      <c r="H40" s="316">
        <v>0.113</v>
      </c>
      <c r="I40" s="315">
        <v>4.05</v>
      </c>
      <c r="J40" s="315">
        <v>6.88</v>
      </c>
      <c r="K40" s="316">
        <v>2.96</v>
      </c>
      <c r="L40" s="316">
        <v>1.33</v>
      </c>
      <c r="M40" s="316">
        <v>0.09</v>
      </c>
      <c r="N40" s="317"/>
      <c r="O40" s="317"/>
      <c r="P40" s="317"/>
      <c r="Q40" s="4">
        <f t="shared" si="70"/>
        <v>59.504550050556112</v>
      </c>
      <c r="R40" s="10">
        <f t="shared" si="71"/>
        <v>0.94118823764752957</v>
      </c>
      <c r="S40" s="4">
        <f t="shared" si="72"/>
        <v>15.743174924165823</v>
      </c>
      <c r="T40" s="4">
        <f t="shared" si="73"/>
        <v>8.1627906976744189</v>
      </c>
      <c r="U40" s="10">
        <f t="shared" si="74"/>
        <v>0.11425682507583418</v>
      </c>
      <c r="V40" s="10">
        <f t="shared" si="75"/>
        <v>4.0950455005055613</v>
      </c>
      <c r="W40" s="10">
        <f t="shared" si="76"/>
        <v>6.9565217391304346</v>
      </c>
      <c r="X40" s="10">
        <f t="shared" si="77"/>
        <v>2.9929221435793729</v>
      </c>
      <c r="Y40" s="10">
        <f t="shared" si="78"/>
        <v>1.3447927199191101</v>
      </c>
      <c r="Z40" s="10">
        <f t="shared" si="79"/>
        <v>9.1001011122345793E-2</v>
      </c>
      <c r="AA40" s="10">
        <f t="shared" si="80"/>
        <v>0</v>
      </c>
      <c r="AB40" s="10">
        <f t="shared" si="81"/>
        <v>0</v>
      </c>
      <c r="AC40" s="10">
        <f t="shared" si="82"/>
        <v>0</v>
      </c>
      <c r="AD40" s="317"/>
      <c r="AE40" s="317"/>
      <c r="AF40" s="315">
        <v>1.3</v>
      </c>
      <c r="AG40" s="315">
        <v>100.2</v>
      </c>
      <c r="AH40" s="11">
        <f t="shared" si="83"/>
        <v>11040.976645435245</v>
      </c>
      <c r="AI40" s="11">
        <f t="shared" si="84"/>
        <v>5639.7319293325154</v>
      </c>
      <c r="AJ40" s="11">
        <f t="shared" si="85"/>
        <v>392.74341270959559</v>
      </c>
      <c r="AK40" s="317">
        <v>233</v>
      </c>
      <c r="AL40" s="317">
        <v>18</v>
      </c>
      <c r="AM40" s="317">
        <v>18</v>
      </c>
      <c r="AN40" s="317">
        <v>152</v>
      </c>
      <c r="AO40" s="317">
        <v>56</v>
      </c>
      <c r="AP40" s="317">
        <v>29.5</v>
      </c>
      <c r="AQ40" s="317">
        <v>90</v>
      </c>
      <c r="AR40" s="318">
        <v>65.5</v>
      </c>
      <c r="AS40" s="318">
        <v>76.2</v>
      </c>
      <c r="AT40" s="317">
        <v>19</v>
      </c>
      <c r="AU40" s="317">
        <v>57</v>
      </c>
      <c r="AV40" s="317">
        <v>201</v>
      </c>
      <c r="AW40" s="317">
        <v>19.3</v>
      </c>
      <c r="AX40" s="317">
        <v>1.1000000000000001</v>
      </c>
      <c r="AY40" s="315">
        <v>15.6</v>
      </c>
      <c r="AZ40" s="315">
        <v>30.1</v>
      </c>
      <c r="BA40" s="315">
        <v>3.68</v>
      </c>
      <c r="BB40" s="315">
        <v>14.8</v>
      </c>
      <c r="BC40" s="315">
        <v>3.62</v>
      </c>
      <c r="BD40" s="315">
        <v>0.93</v>
      </c>
      <c r="BE40" s="315">
        <v>3.58</v>
      </c>
      <c r="BF40" s="315">
        <v>0.57999999999999996</v>
      </c>
      <c r="BG40" s="315">
        <v>3.51</v>
      </c>
      <c r="BH40" s="315">
        <v>0.73</v>
      </c>
      <c r="BI40" s="315">
        <v>2.0699999999999998</v>
      </c>
      <c r="BJ40" s="316">
        <v>0.307</v>
      </c>
      <c r="BK40" s="316">
        <v>1.96</v>
      </c>
      <c r="BL40" s="316">
        <v>0.29699999999999999</v>
      </c>
      <c r="BM40" s="317">
        <v>3</v>
      </c>
      <c r="BN40" s="317">
        <v>6.72</v>
      </c>
      <c r="BO40" s="317">
        <v>1.62</v>
      </c>
      <c r="BP40" s="317">
        <v>5.6</v>
      </c>
      <c r="BQ40" s="317">
        <v>0.42</v>
      </c>
      <c r="BR40" s="317">
        <v>98</v>
      </c>
      <c r="BS40" s="317">
        <v>3</v>
      </c>
      <c r="BT40" s="317">
        <v>2.1</v>
      </c>
      <c r="BU40" s="317">
        <v>2</v>
      </c>
      <c r="BV40" s="317" t="s">
        <v>132</v>
      </c>
      <c r="BW40" s="317" t="s">
        <v>130</v>
      </c>
      <c r="BX40" s="317"/>
      <c r="BY40" s="317"/>
      <c r="BZ40" s="317"/>
      <c r="CA40" s="317" t="s">
        <v>131</v>
      </c>
      <c r="CB40" s="317"/>
      <c r="CC40" s="317"/>
      <c r="CD40" s="317"/>
      <c r="CE40" s="317"/>
      <c r="CF40" s="317">
        <v>0.12</v>
      </c>
      <c r="CG40" s="11">
        <f t="shared" si="86"/>
        <v>44.586332753853732</v>
      </c>
      <c r="CH40" s="10">
        <f t="shared" si="87"/>
        <v>0.62976760355860129</v>
      </c>
      <c r="CI40" s="10">
        <f t="shared" si="88"/>
        <v>0.44932432432432434</v>
      </c>
      <c r="CJ40" s="4">
        <f t="shared" si="89"/>
        <v>4.29</v>
      </c>
      <c r="CK40" s="4">
        <f t="shared" si="90"/>
        <v>10.414507772020725</v>
      </c>
      <c r="CL40" s="4">
        <f t="shared" ref="CL40:CL58" si="100">BR40/AW40</f>
        <v>5.0777202072538854</v>
      </c>
      <c r="CM40" s="4">
        <f t="shared" si="91"/>
        <v>13.333333333333332</v>
      </c>
      <c r="CN40" s="4">
        <f t="shared" si="92"/>
        <v>5.4068716094032547</v>
      </c>
      <c r="CO40" s="4">
        <f t="shared" si="93"/>
        <v>7.9591836734693882</v>
      </c>
      <c r="CP40" s="4">
        <f t="shared" si="94"/>
        <v>1.7908163265306121</v>
      </c>
      <c r="CQ40" s="10">
        <f t="shared" si="95"/>
        <v>0.78747386836513256</v>
      </c>
      <c r="CR40" s="4">
        <f t="shared" si="96"/>
        <v>8.4444444444444446</v>
      </c>
      <c r="CS40" s="40">
        <f t="shared" si="97"/>
        <v>765.13476385725801</v>
      </c>
      <c r="CT40" s="4">
        <f t="shared" si="98"/>
        <v>52.419705023488184</v>
      </c>
      <c r="CU40" s="4">
        <f t="shared" si="99"/>
        <v>3.0371280537741945</v>
      </c>
      <c r="CV40" s="11">
        <f t="shared" ref="CV40:CV58" si="101">12900/(3.8+0.85*(CU40-1)+LN(496000/BR40))-273.15</f>
        <v>644.28624454665089</v>
      </c>
      <c r="CW40" s="11">
        <f t="shared" ref="CW40:CW58" si="102">10108/(1.48+1.16*(CU40-1)+LN(496000/BR40))-273.15</f>
        <v>543.82759825185065</v>
      </c>
      <c r="CX40" s="10"/>
      <c r="CY40" s="10"/>
      <c r="CZ40" s="10"/>
      <c r="DA40" s="4"/>
      <c r="DB40" s="31"/>
      <c r="DC40" s="31"/>
      <c r="DD40" s="32"/>
      <c r="DE40" s="32"/>
      <c r="DF40" s="11"/>
      <c r="DG40" s="11"/>
      <c r="DH40" s="317"/>
      <c r="DI40" s="317"/>
      <c r="DJ40" s="317"/>
      <c r="DK40" s="317"/>
      <c r="DL40" s="317"/>
      <c r="DM40" s="317"/>
    </row>
    <row r="41" spans="1:117" s="3" customFormat="1" ht="14" customHeight="1">
      <c r="A41" s="314" t="s">
        <v>144</v>
      </c>
      <c r="B41" s="3" t="s">
        <v>92</v>
      </c>
      <c r="C41" s="3" t="s">
        <v>56</v>
      </c>
      <c r="D41" s="315">
        <v>53.6</v>
      </c>
      <c r="E41" s="316">
        <v>1.5369999999999999</v>
      </c>
      <c r="F41" s="315">
        <v>14.44</v>
      </c>
      <c r="G41" s="315">
        <v>13.237</v>
      </c>
      <c r="H41" s="316">
        <v>0.219</v>
      </c>
      <c r="I41" s="315">
        <v>4.07</v>
      </c>
      <c r="J41" s="315">
        <v>7.13</v>
      </c>
      <c r="K41" s="316">
        <v>3.79</v>
      </c>
      <c r="L41" s="316">
        <v>0.39</v>
      </c>
      <c r="M41" s="316">
        <v>0.41</v>
      </c>
      <c r="N41" s="317"/>
      <c r="O41" s="317"/>
      <c r="P41" s="317"/>
      <c r="Q41" s="4">
        <f t="shared" si="70"/>
        <v>54.240032382108879</v>
      </c>
      <c r="R41" s="10">
        <f t="shared" si="71"/>
        <v>1.5373074614922986</v>
      </c>
      <c r="S41" s="4">
        <f t="shared" si="72"/>
        <v>14.612426634284557</v>
      </c>
      <c r="T41" s="4">
        <f t="shared" si="73"/>
        <v>13.395061728395062</v>
      </c>
      <c r="U41" s="10">
        <f t="shared" si="74"/>
        <v>0.22161505768063142</v>
      </c>
      <c r="V41" s="10">
        <f t="shared" si="75"/>
        <v>4.1185994737907299</v>
      </c>
      <c r="W41" s="10">
        <f t="shared" si="76"/>
        <v>7.2151386359036627</v>
      </c>
      <c r="X41" s="10">
        <f t="shared" si="77"/>
        <v>3.8352560210483704</v>
      </c>
      <c r="Y41" s="10">
        <f t="shared" si="78"/>
        <v>0.3946569520340012</v>
      </c>
      <c r="Z41" s="10">
        <f t="shared" si="79"/>
        <v>0.41489577008702688</v>
      </c>
      <c r="AA41" s="10">
        <f t="shared" si="80"/>
        <v>0</v>
      </c>
      <c r="AB41" s="10">
        <f t="shared" si="81"/>
        <v>0</v>
      </c>
      <c r="AC41" s="10">
        <f t="shared" si="82"/>
        <v>0</v>
      </c>
      <c r="AD41" s="317"/>
      <c r="AE41" s="317"/>
      <c r="AF41" s="315">
        <v>1.88</v>
      </c>
      <c r="AG41" s="315">
        <v>100.7</v>
      </c>
      <c r="AH41" s="11">
        <f t="shared" si="83"/>
        <v>3237.5796178343953</v>
      </c>
      <c r="AI41" s="11">
        <f t="shared" si="84"/>
        <v>9211.7619292073068</v>
      </c>
      <c r="AJ41" s="11">
        <f t="shared" si="85"/>
        <v>1789.1644356770466</v>
      </c>
      <c r="AK41" s="317">
        <v>72</v>
      </c>
      <c r="AL41" s="317">
        <v>14</v>
      </c>
      <c r="AM41" s="317">
        <v>25</v>
      </c>
      <c r="AN41" s="317">
        <v>145</v>
      </c>
      <c r="AO41" s="317">
        <v>68</v>
      </c>
      <c r="AP41" s="317">
        <v>30.2</v>
      </c>
      <c r="AQ41" s="317">
        <v>48</v>
      </c>
      <c r="AR41" s="318">
        <v>34.9</v>
      </c>
      <c r="AS41" s="318">
        <v>78.099999999999994</v>
      </c>
      <c r="AT41" s="317">
        <v>21</v>
      </c>
      <c r="AU41" s="317">
        <v>8</v>
      </c>
      <c r="AV41" s="317">
        <v>206</v>
      </c>
      <c r="AW41" s="317">
        <v>33.6</v>
      </c>
      <c r="AX41" s="317" t="s">
        <v>133</v>
      </c>
      <c r="AY41" s="315">
        <v>15.2</v>
      </c>
      <c r="AZ41" s="315">
        <v>39.200000000000003</v>
      </c>
      <c r="BA41" s="315">
        <v>5.35</v>
      </c>
      <c r="BB41" s="315">
        <v>23.8</v>
      </c>
      <c r="BC41" s="315">
        <v>5.77</v>
      </c>
      <c r="BD41" s="315">
        <v>1.76</v>
      </c>
      <c r="BE41" s="315">
        <v>6.32</v>
      </c>
      <c r="BF41" s="315">
        <v>1.1100000000000001</v>
      </c>
      <c r="BG41" s="315">
        <v>6.46</v>
      </c>
      <c r="BH41" s="315">
        <v>1.26</v>
      </c>
      <c r="BI41" s="315">
        <v>3.6</v>
      </c>
      <c r="BJ41" s="316">
        <v>0.52</v>
      </c>
      <c r="BK41" s="316">
        <v>3.37</v>
      </c>
      <c r="BL41" s="316">
        <v>0.47099999999999997</v>
      </c>
      <c r="BM41" s="317" t="s">
        <v>137</v>
      </c>
      <c r="BN41" s="317">
        <v>1.89</v>
      </c>
      <c r="BO41" s="317">
        <v>0.52</v>
      </c>
      <c r="BP41" s="317">
        <v>3.8</v>
      </c>
      <c r="BQ41" s="317">
        <v>0.36</v>
      </c>
      <c r="BR41" s="317"/>
      <c r="BS41" s="317">
        <v>3.4</v>
      </c>
      <c r="BT41" s="317">
        <v>2</v>
      </c>
      <c r="BU41" s="317">
        <v>2</v>
      </c>
      <c r="BV41" s="317" t="s">
        <v>132</v>
      </c>
      <c r="BW41" s="317" t="s">
        <v>130</v>
      </c>
      <c r="BX41" s="317">
        <v>2.2000000000000002</v>
      </c>
      <c r="BY41" s="317">
        <v>0.06</v>
      </c>
      <c r="BZ41" s="317">
        <v>9</v>
      </c>
      <c r="CA41" s="317" t="s">
        <v>131</v>
      </c>
      <c r="CB41" s="317"/>
      <c r="CC41" s="317">
        <v>0.05</v>
      </c>
      <c r="CD41" s="317">
        <v>0.5</v>
      </c>
      <c r="CE41" s="317" t="s">
        <v>134</v>
      </c>
      <c r="CF41" s="317" t="s">
        <v>135</v>
      </c>
      <c r="CG41" s="11">
        <f t="shared" si="86"/>
        <v>33.027013081334502</v>
      </c>
      <c r="CH41" s="10">
        <f t="shared" si="87"/>
        <v>0.56017308940427457</v>
      </c>
      <c r="CI41" s="10">
        <f t="shared" si="88"/>
        <v>0.1029023746701847</v>
      </c>
      <c r="CJ41" s="4">
        <f t="shared" si="89"/>
        <v>4.18</v>
      </c>
      <c r="CK41" s="4">
        <f t="shared" si="90"/>
        <v>6.1309523809523805</v>
      </c>
      <c r="CL41" s="4"/>
      <c r="CM41" s="4">
        <f t="shared" si="91"/>
        <v>10.555555555555555</v>
      </c>
      <c r="CN41" s="4">
        <f t="shared" si="92"/>
        <v>3.0640173283752148</v>
      </c>
      <c r="CO41" s="4">
        <f t="shared" si="93"/>
        <v>4.5103857566765573</v>
      </c>
      <c r="CP41" s="4">
        <f t="shared" si="94"/>
        <v>1.9169139465875371</v>
      </c>
      <c r="CQ41" s="10">
        <f t="shared" si="95"/>
        <v>0.88841365105601056</v>
      </c>
      <c r="CR41" s="4">
        <f t="shared" si="96"/>
        <v>5.8</v>
      </c>
      <c r="CS41" s="40">
        <f t="shared" si="97"/>
        <v>870.88614984519347</v>
      </c>
      <c r="CT41" s="4">
        <f t="shared" si="98"/>
        <v>52.977996986688687</v>
      </c>
      <c r="CU41" s="4">
        <f t="shared" si="99"/>
        <v>3.6871806784594821</v>
      </c>
      <c r="CV41" s="11"/>
      <c r="CW41" s="11"/>
      <c r="CX41" s="10"/>
      <c r="CY41" s="10"/>
      <c r="CZ41" s="10"/>
      <c r="DA41" s="4"/>
      <c r="DB41" s="31"/>
      <c r="DC41" s="31"/>
      <c r="DD41" s="32"/>
      <c r="DE41" s="32"/>
      <c r="DF41" s="11"/>
      <c r="DG41" s="11"/>
      <c r="DH41" s="317"/>
      <c r="DI41" s="317"/>
      <c r="DJ41" s="317"/>
      <c r="DK41" s="317"/>
      <c r="DL41" s="317"/>
      <c r="DM41" s="317"/>
    </row>
    <row r="42" spans="1:117" s="3" customFormat="1" ht="14" customHeight="1">
      <c r="A42" s="314" t="s">
        <v>145</v>
      </c>
      <c r="B42" s="3" t="s">
        <v>92</v>
      </c>
      <c r="C42" s="3" t="s">
        <v>56</v>
      </c>
      <c r="D42" s="315">
        <v>53.72</v>
      </c>
      <c r="E42" s="316">
        <v>1.849</v>
      </c>
      <c r="F42" s="315">
        <v>14.4</v>
      </c>
      <c r="G42" s="315">
        <v>13.145000000000001</v>
      </c>
      <c r="H42" s="316">
        <v>0.20499999999999999</v>
      </c>
      <c r="I42" s="315">
        <v>3.12</v>
      </c>
      <c r="J42" s="315">
        <v>7.12</v>
      </c>
      <c r="K42" s="316">
        <v>3.64</v>
      </c>
      <c r="L42" s="316">
        <v>0.41</v>
      </c>
      <c r="M42" s="316">
        <v>0.66</v>
      </c>
      <c r="N42" s="317"/>
      <c r="O42" s="317"/>
      <c r="P42" s="317"/>
      <c r="Q42" s="4">
        <f t="shared" si="70"/>
        <v>54.66015466015466</v>
      </c>
      <c r="R42" s="10">
        <f t="shared" si="71"/>
        <v>1.8493698739747952</v>
      </c>
      <c r="S42" s="4">
        <f t="shared" si="72"/>
        <v>14.652014652014651</v>
      </c>
      <c r="T42" s="4">
        <f t="shared" si="73"/>
        <v>13.375050875050878</v>
      </c>
      <c r="U42" s="10">
        <f t="shared" si="74"/>
        <v>0.20858770858770859</v>
      </c>
      <c r="V42" s="10">
        <f t="shared" si="75"/>
        <v>3.1746031746031744</v>
      </c>
      <c r="W42" s="10">
        <f t="shared" si="76"/>
        <v>7.2446072446072449</v>
      </c>
      <c r="X42" s="10">
        <f t="shared" si="77"/>
        <v>3.7037037037037037</v>
      </c>
      <c r="Y42" s="10">
        <f t="shared" si="78"/>
        <v>0.41717541717541717</v>
      </c>
      <c r="Z42" s="10">
        <f t="shared" si="79"/>
        <v>0.6715506715506715</v>
      </c>
      <c r="AA42" s="10">
        <f t="shared" si="80"/>
        <v>0</v>
      </c>
      <c r="AB42" s="10">
        <f t="shared" si="81"/>
        <v>0</v>
      </c>
      <c r="AC42" s="10">
        <f t="shared" si="82"/>
        <v>0</v>
      </c>
      <c r="AD42" s="317"/>
      <c r="AE42" s="317"/>
      <c r="AF42" s="315">
        <v>1.19</v>
      </c>
      <c r="AG42" s="315">
        <v>99.47</v>
      </c>
      <c r="AH42" s="11">
        <f t="shared" si="83"/>
        <v>3403.6093418259024</v>
      </c>
      <c r="AI42" s="11">
        <f t="shared" si="84"/>
        <v>11081.683674108204</v>
      </c>
      <c r="AJ42" s="11">
        <f t="shared" si="85"/>
        <v>2880.1183598703678</v>
      </c>
      <c r="AK42" s="317">
        <v>75</v>
      </c>
      <c r="AL42" s="317">
        <v>11</v>
      </c>
      <c r="AM42" s="317">
        <v>24</v>
      </c>
      <c r="AN42" s="317">
        <v>109</v>
      </c>
      <c r="AO42" s="317">
        <v>21</v>
      </c>
      <c r="AP42" s="317">
        <v>27.2</v>
      </c>
      <c r="AQ42" s="317">
        <v>28</v>
      </c>
      <c r="AR42" s="318">
        <v>31.4</v>
      </c>
      <c r="AS42" s="318">
        <v>70.7</v>
      </c>
      <c r="AT42" s="317">
        <v>22</v>
      </c>
      <c r="AU42" s="317">
        <v>8</v>
      </c>
      <c r="AV42" s="317">
        <v>196</v>
      </c>
      <c r="AW42" s="317">
        <v>46.1</v>
      </c>
      <c r="AX42" s="317">
        <v>0.1</v>
      </c>
      <c r="AY42" s="315">
        <v>19.8</v>
      </c>
      <c r="AZ42" s="315">
        <v>50.4</v>
      </c>
      <c r="BA42" s="315">
        <v>7</v>
      </c>
      <c r="BB42" s="315">
        <v>31.6</v>
      </c>
      <c r="BC42" s="315">
        <v>8.09</v>
      </c>
      <c r="BD42" s="315">
        <v>2.0699999999999998</v>
      </c>
      <c r="BE42" s="315">
        <v>8.44</v>
      </c>
      <c r="BF42" s="315">
        <v>1.49</v>
      </c>
      <c r="BG42" s="315">
        <v>8.67</v>
      </c>
      <c r="BH42" s="315">
        <v>1.72</v>
      </c>
      <c r="BI42" s="315">
        <v>4.9400000000000004</v>
      </c>
      <c r="BJ42" s="316">
        <v>0.71899999999999997</v>
      </c>
      <c r="BK42" s="316">
        <v>4.58</v>
      </c>
      <c r="BL42" s="316">
        <v>0.64300000000000002</v>
      </c>
      <c r="BM42" s="317" t="s">
        <v>137</v>
      </c>
      <c r="BN42" s="317">
        <v>2.48</v>
      </c>
      <c r="BO42" s="317">
        <v>0.62</v>
      </c>
      <c r="BP42" s="317">
        <v>9.8000000000000007</v>
      </c>
      <c r="BQ42" s="317">
        <v>0.72</v>
      </c>
      <c r="BR42" s="317"/>
      <c r="BS42" s="317">
        <v>3.9</v>
      </c>
      <c r="BT42" s="317">
        <v>1.9</v>
      </c>
      <c r="BU42" s="317">
        <v>2</v>
      </c>
      <c r="BV42" s="317" t="s">
        <v>132</v>
      </c>
      <c r="BW42" s="317" t="s">
        <v>130</v>
      </c>
      <c r="BX42" s="317">
        <v>1.4</v>
      </c>
      <c r="BY42" s="317">
        <v>0.05</v>
      </c>
      <c r="BZ42" s="317">
        <v>8</v>
      </c>
      <c r="CA42" s="317" t="s">
        <v>131</v>
      </c>
      <c r="CB42" s="317"/>
      <c r="CC42" s="317">
        <v>0.03</v>
      </c>
      <c r="CD42" s="317">
        <v>0.4</v>
      </c>
      <c r="CE42" s="317" t="s">
        <v>134</v>
      </c>
      <c r="CF42" s="317" t="s">
        <v>135</v>
      </c>
      <c r="CG42" s="11">
        <f t="shared" si="86"/>
        <v>27.571862805646543</v>
      </c>
      <c r="CH42" s="10">
        <f t="shared" si="87"/>
        <v>0.565635306732853</v>
      </c>
      <c r="CI42" s="10">
        <f t="shared" si="88"/>
        <v>0.11263736263736263</v>
      </c>
      <c r="CJ42" s="4">
        <f t="shared" si="89"/>
        <v>4.05</v>
      </c>
      <c r="CK42" s="4">
        <f t="shared" si="90"/>
        <v>4.2516268980477223</v>
      </c>
      <c r="CL42" s="4"/>
      <c r="CM42" s="4">
        <f t="shared" si="91"/>
        <v>13.611111111111112</v>
      </c>
      <c r="CN42" s="4">
        <f t="shared" si="92"/>
        <v>2.936819412967774</v>
      </c>
      <c r="CO42" s="4">
        <f t="shared" si="93"/>
        <v>4.323144104803494</v>
      </c>
      <c r="CP42" s="4">
        <f t="shared" si="94"/>
        <v>1.8930131004366813</v>
      </c>
      <c r="CQ42" s="10">
        <f t="shared" si="95"/>
        <v>0.76361396535409043</v>
      </c>
      <c r="CR42" s="4">
        <f t="shared" si="96"/>
        <v>4.541666666666667</v>
      </c>
      <c r="CS42" s="40">
        <f t="shared" si="97"/>
        <v>943.41143844369333</v>
      </c>
      <c r="CT42" s="4">
        <f t="shared" si="98"/>
        <v>52.231963575174973</v>
      </c>
      <c r="CU42" s="4">
        <f t="shared" si="99"/>
        <v>3.6074725807591821</v>
      </c>
      <c r="CV42" s="11"/>
      <c r="CW42" s="11"/>
      <c r="CX42" s="10"/>
      <c r="CY42" s="10"/>
      <c r="CZ42" s="10"/>
      <c r="DA42" s="4"/>
      <c r="DB42" s="31"/>
      <c r="DC42" s="31"/>
      <c r="DD42" s="32"/>
      <c r="DE42" s="32"/>
      <c r="DF42" s="11"/>
      <c r="DG42" s="11"/>
      <c r="DH42" s="317"/>
      <c r="DI42" s="317"/>
      <c r="DJ42" s="317"/>
      <c r="DK42" s="317"/>
      <c r="DL42" s="317"/>
      <c r="DM42" s="317"/>
    </row>
    <row r="43" spans="1:117" s="3" customFormat="1" ht="14" customHeight="1">
      <c r="A43" s="314" t="s">
        <v>146</v>
      </c>
      <c r="B43" s="3" t="s">
        <v>92</v>
      </c>
      <c r="C43" s="3" t="s">
        <v>56</v>
      </c>
      <c r="D43" s="315">
        <v>58.89</v>
      </c>
      <c r="E43" s="316">
        <v>1.488</v>
      </c>
      <c r="F43" s="315">
        <v>15.58</v>
      </c>
      <c r="G43" s="315">
        <v>7.2060000000000004</v>
      </c>
      <c r="H43" s="316">
        <v>0.106</v>
      </c>
      <c r="I43" s="315">
        <v>2.19</v>
      </c>
      <c r="J43" s="315">
        <v>7.73</v>
      </c>
      <c r="K43" s="316">
        <v>4.34</v>
      </c>
      <c r="L43" s="316">
        <v>0.4</v>
      </c>
      <c r="M43" s="316">
        <v>0.5</v>
      </c>
      <c r="N43" s="317"/>
      <c r="O43" s="317"/>
      <c r="P43" s="317"/>
      <c r="Q43" s="4">
        <f t="shared" si="70"/>
        <v>59.829320329167942</v>
      </c>
      <c r="R43" s="10">
        <f t="shared" si="71"/>
        <v>1.4882976595319066</v>
      </c>
      <c r="S43" s="4">
        <f t="shared" si="72"/>
        <v>15.828507568830643</v>
      </c>
      <c r="T43" s="4">
        <f t="shared" si="73"/>
        <v>7.320938738189577</v>
      </c>
      <c r="U43" s="10">
        <f t="shared" si="74"/>
        <v>0.10769074469165905</v>
      </c>
      <c r="V43" s="10">
        <f t="shared" si="75"/>
        <v>2.2249314233465407</v>
      </c>
      <c r="W43" s="10">
        <f t="shared" si="76"/>
        <v>7.8532967591181553</v>
      </c>
      <c r="X43" s="10">
        <f t="shared" si="77"/>
        <v>4.4092248298283048</v>
      </c>
      <c r="Y43" s="10">
        <f t="shared" si="78"/>
        <v>0.40638016864777005</v>
      </c>
      <c r="Z43" s="10">
        <f t="shared" si="79"/>
        <v>0.50797521080971253</v>
      </c>
      <c r="AA43" s="10">
        <f t="shared" si="80"/>
        <v>0</v>
      </c>
      <c r="AB43" s="10">
        <f t="shared" si="81"/>
        <v>0</v>
      </c>
      <c r="AC43" s="10">
        <f t="shared" si="82"/>
        <v>0</v>
      </c>
      <c r="AD43" s="317"/>
      <c r="AE43" s="317"/>
      <c r="AF43" s="315">
        <v>1.67</v>
      </c>
      <c r="AG43" s="315">
        <v>100.1</v>
      </c>
      <c r="AH43" s="11">
        <f t="shared" si="83"/>
        <v>3320.5944798301484</v>
      </c>
      <c r="AI43" s="11">
        <f t="shared" si="84"/>
        <v>8918.0883218350518</v>
      </c>
      <c r="AJ43" s="11">
        <f t="shared" si="85"/>
        <v>2181.9078483866424</v>
      </c>
      <c r="AK43" s="317">
        <v>82</v>
      </c>
      <c r="AL43" s="317">
        <v>10</v>
      </c>
      <c r="AM43" s="317">
        <v>25</v>
      </c>
      <c r="AN43" s="317">
        <v>66</v>
      </c>
      <c r="AO43" s="317">
        <v>11</v>
      </c>
      <c r="AP43" s="317">
        <v>11.8</v>
      </c>
      <c r="AQ43" s="317">
        <v>18</v>
      </c>
      <c r="AR43" s="318">
        <v>71.900000000000006</v>
      </c>
      <c r="AS43" s="318">
        <v>46</v>
      </c>
      <c r="AT43" s="317">
        <v>27</v>
      </c>
      <c r="AU43" s="317">
        <v>10</v>
      </c>
      <c r="AV43" s="317">
        <v>231</v>
      </c>
      <c r="AW43" s="317">
        <v>56.9</v>
      </c>
      <c r="AX43" s="317" t="s">
        <v>133</v>
      </c>
      <c r="AY43" s="315">
        <v>25.8</v>
      </c>
      <c r="AZ43" s="315">
        <v>77.400000000000006</v>
      </c>
      <c r="BA43" s="315">
        <v>10.7</v>
      </c>
      <c r="BB43" s="315">
        <v>46.4</v>
      </c>
      <c r="BC43" s="315">
        <v>10.5</v>
      </c>
      <c r="BD43" s="315">
        <v>2.93</v>
      </c>
      <c r="BE43" s="315">
        <v>10.7</v>
      </c>
      <c r="BF43" s="315">
        <v>1.77</v>
      </c>
      <c r="BG43" s="315">
        <v>10.3</v>
      </c>
      <c r="BH43" s="315">
        <v>2.08</v>
      </c>
      <c r="BI43" s="315">
        <v>5.73</v>
      </c>
      <c r="BJ43" s="316">
        <v>0.86699999999999999</v>
      </c>
      <c r="BK43" s="316">
        <v>5.7</v>
      </c>
      <c r="BL43" s="316">
        <v>0.81599999999999995</v>
      </c>
      <c r="BM43" s="317" t="s">
        <v>137</v>
      </c>
      <c r="BN43" s="317">
        <v>2.7</v>
      </c>
      <c r="BO43" s="317">
        <v>1.32</v>
      </c>
      <c r="BP43" s="317">
        <v>5.3</v>
      </c>
      <c r="BQ43" s="317">
        <v>0.31</v>
      </c>
      <c r="BR43" s="317"/>
      <c r="BS43" s="317">
        <v>5.0999999999999996</v>
      </c>
      <c r="BT43" s="317">
        <v>2.9</v>
      </c>
      <c r="BU43" s="317">
        <v>18</v>
      </c>
      <c r="BV43" s="317" t="s">
        <v>132</v>
      </c>
      <c r="BW43" s="317" t="s">
        <v>130</v>
      </c>
      <c r="BX43" s="317">
        <v>0.6</v>
      </c>
      <c r="BY43" s="317">
        <v>0.08</v>
      </c>
      <c r="BZ43" s="317">
        <v>7</v>
      </c>
      <c r="CA43" s="317" t="s">
        <v>131</v>
      </c>
      <c r="CB43" s="317"/>
      <c r="CC43" s="317">
        <v>0.03</v>
      </c>
      <c r="CD43" s="317">
        <v>0.5</v>
      </c>
      <c r="CE43" s="317" t="s">
        <v>134</v>
      </c>
      <c r="CF43" s="317" t="s">
        <v>135</v>
      </c>
      <c r="CG43" s="11">
        <f t="shared" si="86"/>
        <v>32.77006679031507</v>
      </c>
      <c r="CH43" s="10">
        <f t="shared" si="87"/>
        <v>0.54832233020624344</v>
      </c>
      <c r="CI43" s="10">
        <f t="shared" si="88"/>
        <v>9.2165898617511524E-2</v>
      </c>
      <c r="CJ43" s="4">
        <f t="shared" si="89"/>
        <v>4.74</v>
      </c>
      <c r="CK43" s="4">
        <f t="shared" si="90"/>
        <v>4.0597539543057994</v>
      </c>
      <c r="CL43" s="4"/>
      <c r="CM43" s="4">
        <f t="shared" si="91"/>
        <v>17.096774193548388</v>
      </c>
      <c r="CN43" s="4">
        <f t="shared" si="92"/>
        <v>3.0748389962247393</v>
      </c>
      <c r="CO43" s="4">
        <f t="shared" si="93"/>
        <v>4.5263157894736841</v>
      </c>
      <c r="CP43" s="4">
        <f t="shared" si="94"/>
        <v>1.8070175438596492</v>
      </c>
      <c r="CQ43" s="10">
        <f t="shared" si="95"/>
        <v>0.84261674031045619</v>
      </c>
      <c r="CR43" s="4">
        <f t="shared" si="96"/>
        <v>2.64</v>
      </c>
      <c r="CS43" s="40">
        <f t="shared" si="97"/>
        <v>972.0546975657486</v>
      </c>
      <c r="CT43" s="4">
        <f t="shared" si="98"/>
        <v>50.194028485279418</v>
      </c>
      <c r="CU43" s="4">
        <f t="shared" si="99"/>
        <v>3.2286652441641577</v>
      </c>
      <c r="CV43" s="11"/>
      <c r="CW43" s="11"/>
      <c r="CX43" s="10"/>
      <c r="CY43" s="10"/>
      <c r="CZ43" s="10"/>
      <c r="DA43" s="4"/>
      <c r="DB43" s="31"/>
      <c r="DC43" s="31"/>
      <c r="DD43" s="32"/>
      <c r="DE43" s="32"/>
      <c r="DF43" s="11"/>
      <c r="DG43" s="11"/>
      <c r="DH43" s="317"/>
      <c r="DI43" s="317"/>
      <c r="DJ43" s="317"/>
      <c r="DK43" s="317"/>
      <c r="DL43" s="317"/>
      <c r="DM43" s="317"/>
    </row>
    <row r="44" spans="1:117" s="3" customFormat="1" ht="14" customHeight="1">
      <c r="A44" s="314" t="s">
        <v>147</v>
      </c>
      <c r="B44" s="3" t="s">
        <v>92</v>
      </c>
      <c r="C44" s="3" t="s">
        <v>56</v>
      </c>
      <c r="D44" s="315">
        <v>59.94</v>
      </c>
      <c r="E44" s="316">
        <v>2.1890000000000001</v>
      </c>
      <c r="F44" s="315">
        <v>14.28</v>
      </c>
      <c r="G44" s="315">
        <v>5.07</v>
      </c>
      <c r="H44" s="316">
        <v>8.4000000000000005E-2</v>
      </c>
      <c r="I44" s="315">
        <v>2.87</v>
      </c>
      <c r="J44" s="315">
        <v>9.81</v>
      </c>
      <c r="K44" s="316">
        <v>4.34</v>
      </c>
      <c r="L44" s="316">
        <v>0.18</v>
      </c>
      <c r="M44" s="316">
        <v>0.28999999999999998</v>
      </c>
      <c r="N44" s="317"/>
      <c r="O44" s="317"/>
      <c r="P44" s="317"/>
      <c r="Q44" s="4">
        <f t="shared" si="70"/>
        <v>60.539339460660536</v>
      </c>
      <c r="R44" s="10">
        <f t="shared" si="71"/>
        <v>2.1894378875775158</v>
      </c>
      <c r="S44" s="4">
        <f t="shared" si="72"/>
        <v>14.422785577214421</v>
      </c>
      <c r="T44" s="4">
        <f t="shared" si="73"/>
        <v>5.1206948793051206</v>
      </c>
      <c r="U44" s="10">
        <f t="shared" si="74"/>
        <v>8.4839915160084836E-2</v>
      </c>
      <c r="V44" s="10">
        <f t="shared" si="75"/>
        <v>2.8986971013028984</v>
      </c>
      <c r="W44" s="10">
        <f t="shared" si="76"/>
        <v>9.9080900919099069</v>
      </c>
      <c r="X44" s="10">
        <f t="shared" si="77"/>
        <v>4.3833956166043828</v>
      </c>
      <c r="Y44" s="10">
        <f t="shared" si="78"/>
        <v>0.18179981820018179</v>
      </c>
      <c r="Z44" s="10">
        <f t="shared" si="79"/>
        <v>0.29289970710029284</v>
      </c>
      <c r="AA44" s="10">
        <f t="shared" si="80"/>
        <v>0</v>
      </c>
      <c r="AB44" s="10">
        <f t="shared" si="81"/>
        <v>0</v>
      </c>
      <c r="AC44" s="10">
        <f t="shared" si="82"/>
        <v>0</v>
      </c>
      <c r="AD44" s="317"/>
      <c r="AE44" s="317"/>
      <c r="AF44" s="315">
        <v>1.69</v>
      </c>
      <c r="AG44" s="315">
        <v>100.7</v>
      </c>
      <c r="AH44" s="11">
        <f t="shared" si="83"/>
        <v>1494.2675159235669</v>
      </c>
      <c r="AI44" s="11">
        <f t="shared" si="84"/>
        <v>13119.418908936106</v>
      </c>
      <c r="AJ44" s="11">
        <f t="shared" si="85"/>
        <v>1265.5065520642524</v>
      </c>
      <c r="AK44" s="317">
        <v>26</v>
      </c>
      <c r="AL44" s="317">
        <v>3</v>
      </c>
      <c r="AM44" s="317">
        <v>27</v>
      </c>
      <c r="AN44" s="317">
        <v>112</v>
      </c>
      <c r="AO44" s="317">
        <v>11</v>
      </c>
      <c r="AP44" s="317">
        <v>6.3</v>
      </c>
      <c r="AQ44" s="317">
        <v>19</v>
      </c>
      <c r="AR44" s="318">
        <v>7.7</v>
      </c>
      <c r="AS44" s="318">
        <v>28.1</v>
      </c>
      <c r="AT44" s="317">
        <v>22</v>
      </c>
      <c r="AU44" s="317">
        <v>4</v>
      </c>
      <c r="AV44" s="317">
        <v>200</v>
      </c>
      <c r="AW44" s="317">
        <v>84.5</v>
      </c>
      <c r="AX44" s="317" t="s">
        <v>133</v>
      </c>
      <c r="AY44" s="315">
        <v>28.9</v>
      </c>
      <c r="AZ44" s="315">
        <v>117</v>
      </c>
      <c r="BA44" s="315">
        <v>18.2</v>
      </c>
      <c r="BB44" s="315">
        <v>77.5</v>
      </c>
      <c r="BC44" s="315">
        <v>17</v>
      </c>
      <c r="BD44" s="315">
        <v>3.23</v>
      </c>
      <c r="BE44" s="315">
        <v>15.7</v>
      </c>
      <c r="BF44" s="315">
        <v>2.67</v>
      </c>
      <c r="BG44" s="315">
        <v>15.5</v>
      </c>
      <c r="BH44" s="315">
        <v>3.11</v>
      </c>
      <c r="BI44" s="315">
        <v>8.92</v>
      </c>
      <c r="BJ44" s="316">
        <v>1.37</v>
      </c>
      <c r="BK44" s="316">
        <v>9.0299999999999994</v>
      </c>
      <c r="BL44" s="316">
        <v>1.27</v>
      </c>
      <c r="BM44" s="317">
        <v>2</v>
      </c>
      <c r="BN44" s="317">
        <v>5.58</v>
      </c>
      <c r="BO44" s="317">
        <v>2.42</v>
      </c>
      <c r="BP44" s="317">
        <v>16.899999999999999</v>
      </c>
      <c r="BQ44" s="317">
        <v>0.8</v>
      </c>
      <c r="BR44" s="317"/>
      <c r="BS44" s="317">
        <v>5.7</v>
      </c>
      <c r="BT44" s="317">
        <v>3.1</v>
      </c>
      <c r="BU44" s="317">
        <v>9</v>
      </c>
      <c r="BV44" s="317" t="s">
        <v>132</v>
      </c>
      <c r="BW44" s="317" t="s">
        <v>130</v>
      </c>
      <c r="BX44" s="317">
        <v>0.5</v>
      </c>
      <c r="BY44" s="317">
        <v>0.02</v>
      </c>
      <c r="BZ44" s="317">
        <v>7</v>
      </c>
      <c r="CA44" s="317" t="s">
        <v>131</v>
      </c>
      <c r="CB44" s="317"/>
      <c r="CC44" s="317" t="s">
        <v>134</v>
      </c>
      <c r="CD44" s="317">
        <v>0.4</v>
      </c>
      <c r="CE44" s="317" t="s">
        <v>134</v>
      </c>
      <c r="CF44" s="317" t="s">
        <v>135</v>
      </c>
      <c r="CG44" s="11">
        <f t="shared" si="86"/>
        <v>47.586392318375239</v>
      </c>
      <c r="CH44" s="10">
        <f t="shared" si="87"/>
        <v>0.43181593853513933</v>
      </c>
      <c r="CI44" s="10">
        <f t="shared" si="88"/>
        <v>4.1474654377880185E-2</v>
      </c>
      <c r="CJ44" s="4">
        <f t="shared" si="89"/>
        <v>4.5199999999999996</v>
      </c>
      <c r="CK44" s="4">
        <f t="shared" si="90"/>
        <v>2.3668639053254439</v>
      </c>
      <c r="CL44" s="4"/>
      <c r="CM44" s="4">
        <f t="shared" si="91"/>
        <v>21.124999999999996</v>
      </c>
      <c r="CN44" s="4">
        <f t="shared" si="92"/>
        <v>2.1741405815588921</v>
      </c>
      <c r="CO44" s="4">
        <f t="shared" si="93"/>
        <v>3.2004429678848285</v>
      </c>
      <c r="CP44" s="4">
        <f t="shared" si="94"/>
        <v>1.7165005537098561</v>
      </c>
      <c r="CQ44" s="10">
        <f t="shared" si="95"/>
        <v>0.60266675696187566</v>
      </c>
      <c r="CR44" s="4">
        <f t="shared" si="96"/>
        <v>4.1481481481481479</v>
      </c>
      <c r="CS44" s="40">
        <f t="shared" si="97"/>
        <v>911.52961433947155</v>
      </c>
      <c r="CT44" s="4">
        <f t="shared" si="98"/>
        <v>50.842109233670875</v>
      </c>
      <c r="CU44" s="4">
        <f t="shared" si="99"/>
        <v>4.175546413567659</v>
      </c>
      <c r="CV44" s="11"/>
      <c r="CW44" s="11"/>
      <c r="CX44" s="10"/>
      <c r="CY44" s="10"/>
      <c r="CZ44" s="10"/>
      <c r="DA44" s="4"/>
      <c r="DB44" s="31"/>
      <c r="DC44" s="31"/>
      <c r="DD44" s="32"/>
      <c r="DE44" s="32"/>
      <c r="DF44" s="11"/>
      <c r="DG44" s="11"/>
      <c r="DH44" s="317"/>
      <c r="DI44" s="317"/>
      <c r="DJ44" s="317"/>
      <c r="DK44" s="317"/>
      <c r="DL44" s="317"/>
      <c r="DM44" s="317"/>
    </row>
    <row r="45" spans="1:117" s="3" customFormat="1" ht="14" customHeight="1">
      <c r="A45" s="314" t="s">
        <v>148</v>
      </c>
      <c r="B45" s="3" t="s">
        <v>92</v>
      </c>
      <c r="C45" s="3" t="s">
        <v>56</v>
      </c>
      <c r="D45" s="315">
        <v>51.94</v>
      </c>
      <c r="E45" s="316">
        <v>1.38</v>
      </c>
      <c r="F45" s="315">
        <v>15.32</v>
      </c>
      <c r="G45" s="315">
        <v>10.452000000000002</v>
      </c>
      <c r="H45" s="316">
        <v>0.16700000000000001</v>
      </c>
      <c r="I45" s="315">
        <v>5.43</v>
      </c>
      <c r="J45" s="315">
        <v>9.36</v>
      </c>
      <c r="K45" s="316">
        <v>3.65</v>
      </c>
      <c r="L45" s="316">
        <v>0.69</v>
      </c>
      <c r="M45" s="316">
        <v>0.23</v>
      </c>
      <c r="N45" s="317"/>
      <c r="O45" s="317"/>
      <c r="P45" s="317"/>
      <c r="Q45" s="4">
        <f t="shared" si="70"/>
        <v>52.661462029808376</v>
      </c>
      <c r="R45" s="10">
        <f t="shared" si="71"/>
        <v>1.3802760552110422</v>
      </c>
      <c r="S45" s="4">
        <f t="shared" si="72"/>
        <v>15.53279935111021</v>
      </c>
      <c r="T45" s="4">
        <f t="shared" si="73"/>
        <v>10.597181384974149</v>
      </c>
      <c r="U45" s="10">
        <f t="shared" si="74"/>
        <v>0.16931967961066613</v>
      </c>
      <c r="V45" s="10">
        <f t="shared" si="75"/>
        <v>5.5054243130893239</v>
      </c>
      <c r="W45" s="10">
        <f t="shared" si="76"/>
        <v>9.4900131805738628</v>
      </c>
      <c r="X45" s="10">
        <f t="shared" si="77"/>
        <v>3.7006995843049784</v>
      </c>
      <c r="Y45" s="10">
        <f t="shared" si="78"/>
        <v>0.69958430497820134</v>
      </c>
      <c r="Z45" s="10">
        <f t="shared" si="79"/>
        <v>0.23319476832606714</v>
      </c>
      <c r="AA45" s="10">
        <f t="shared" si="80"/>
        <v>0</v>
      </c>
      <c r="AB45" s="10">
        <f t="shared" si="81"/>
        <v>0</v>
      </c>
      <c r="AC45" s="10">
        <f t="shared" si="82"/>
        <v>0</v>
      </c>
      <c r="AD45" s="317"/>
      <c r="AE45" s="317"/>
      <c r="AF45" s="315">
        <v>1.29</v>
      </c>
      <c r="AG45" s="315">
        <v>99.92</v>
      </c>
      <c r="AH45" s="11">
        <f t="shared" si="83"/>
        <v>5728.0254777070058</v>
      </c>
      <c r="AI45" s="11">
        <f t="shared" si="84"/>
        <v>8270.807717830894</v>
      </c>
      <c r="AJ45" s="11">
        <f t="shared" si="85"/>
        <v>1003.6776102578553</v>
      </c>
      <c r="AK45" s="317">
        <v>96</v>
      </c>
      <c r="AL45" s="317">
        <v>10</v>
      </c>
      <c r="AM45" s="317">
        <v>28</v>
      </c>
      <c r="AN45" s="317">
        <v>212</v>
      </c>
      <c r="AO45" s="317">
        <v>107</v>
      </c>
      <c r="AP45" s="317">
        <v>26.3</v>
      </c>
      <c r="AQ45" s="317">
        <v>53</v>
      </c>
      <c r="AR45" s="318">
        <v>21.1</v>
      </c>
      <c r="AS45" s="318">
        <v>76.8</v>
      </c>
      <c r="AT45" s="317">
        <v>19</v>
      </c>
      <c r="AU45" s="317">
        <v>23</v>
      </c>
      <c r="AV45" s="317">
        <v>312</v>
      </c>
      <c r="AW45" s="317">
        <v>23.4</v>
      </c>
      <c r="AX45" s="317">
        <v>0.2</v>
      </c>
      <c r="AY45" s="315">
        <v>19.7</v>
      </c>
      <c r="AZ45" s="315">
        <v>49.7</v>
      </c>
      <c r="BA45" s="315">
        <v>7.14</v>
      </c>
      <c r="BB45" s="315">
        <v>29.5</v>
      </c>
      <c r="BC45" s="315">
        <v>5.72</v>
      </c>
      <c r="BD45" s="315">
        <v>1.39</v>
      </c>
      <c r="BE45" s="315">
        <v>5.01</v>
      </c>
      <c r="BF45" s="315">
        <v>0.72</v>
      </c>
      <c r="BG45" s="315">
        <v>4.29</v>
      </c>
      <c r="BH45" s="315">
        <v>0.88</v>
      </c>
      <c r="BI45" s="315">
        <v>2.5299999999999998</v>
      </c>
      <c r="BJ45" s="316">
        <v>0.38400000000000001</v>
      </c>
      <c r="BK45" s="316">
        <v>2.35</v>
      </c>
      <c r="BL45" s="316">
        <v>0.34799999999999998</v>
      </c>
      <c r="BM45" s="317" t="s">
        <v>137</v>
      </c>
      <c r="BN45" s="317">
        <v>1.84</v>
      </c>
      <c r="BO45" s="317">
        <v>0.44</v>
      </c>
      <c r="BP45" s="317">
        <v>7.2</v>
      </c>
      <c r="BQ45" s="317">
        <v>0.43</v>
      </c>
      <c r="BR45" s="317">
        <v>115</v>
      </c>
      <c r="BS45" s="317">
        <v>2.9</v>
      </c>
      <c r="BT45" s="317">
        <v>2.5</v>
      </c>
      <c r="BU45" s="317">
        <v>3</v>
      </c>
      <c r="BV45" s="317" t="s">
        <v>132</v>
      </c>
      <c r="BW45" s="317" t="s">
        <v>130</v>
      </c>
      <c r="BX45" s="317"/>
      <c r="BY45" s="317"/>
      <c r="BZ45" s="317"/>
      <c r="CA45" s="317" t="s">
        <v>131</v>
      </c>
      <c r="CB45" s="317"/>
      <c r="CC45" s="317"/>
      <c r="CD45" s="317"/>
      <c r="CE45" s="317"/>
      <c r="CF45" s="317">
        <v>0.11</v>
      </c>
      <c r="CG45" s="11">
        <f t="shared" si="86"/>
        <v>45.451489176336281</v>
      </c>
      <c r="CH45" s="10">
        <f t="shared" si="87"/>
        <v>0.49057513394639291</v>
      </c>
      <c r="CI45" s="10">
        <f t="shared" si="88"/>
        <v>0.18904109589041096</v>
      </c>
      <c r="CJ45" s="4">
        <f t="shared" si="89"/>
        <v>4.34</v>
      </c>
      <c r="CK45" s="4">
        <f t="shared" si="90"/>
        <v>13.333333333333334</v>
      </c>
      <c r="CL45" s="4">
        <f t="shared" si="100"/>
        <v>4.9145299145299148</v>
      </c>
      <c r="CM45" s="4">
        <f t="shared" si="91"/>
        <v>16.744186046511629</v>
      </c>
      <c r="CN45" s="4">
        <f t="shared" si="92"/>
        <v>5.6947661369961402</v>
      </c>
      <c r="CO45" s="4">
        <f t="shared" si="93"/>
        <v>8.3829787234042552</v>
      </c>
      <c r="CP45" s="4">
        <f t="shared" si="94"/>
        <v>1.8255319148936169</v>
      </c>
      <c r="CQ45" s="10">
        <f t="shared" si="95"/>
        <v>0.79149271875436933</v>
      </c>
      <c r="CR45" s="4">
        <f t="shared" si="96"/>
        <v>7.5714285714285712</v>
      </c>
      <c r="CS45" s="40">
        <f t="shared" si="97"/>
        <v>769.76824604421392</v>
      </c>
      <c r="CT45" s="4">
        <f t="shared" si="98"/>
        <v>53.797555996024613</v>
      </c>
      <c r="CU45" s="4">
        <f t="shared" si="99"/>
        <v>4.5526921923776085</v>
      </c>
      <c r="CV45" s="11">
        <f t="shared" si="101"/>
        <v>576.13835398357242</v>
      </c>
      <c r="CW45" s="11">
        <f t="shared" si="102"/>
        <v>450.37342920088736</v>
      </c>
      <c r="CX45" s="10"/>
      <c r="CY45" s="10"/>
      <c r="CZ45" s="10"/>
      <c r="DA45" s="4"/>
      <c r="DB45" s="31"/>
      <c r="DC45" s="31"/>
      <c r="DD45" s="32"/>
      <c r="DE45" s="32"/>
      <c r="DF45" s="11"/>
      <c r="DG45" s="11"/>
      <c r="DH45" s="317"/>
      <c r="DI45" s="317"/>
      <c r="DJ45" s="317"/>
      <c r="DK45" s="317"/>
      <c r="DL45" s="317"/>
      <c r="DM45" s="317"/>
    </row>
    <row r="46" spans="1:117" s="3" customFormat="1" ht="14" customHeight="1">
      <c r="A46" s="314" t="s">
        <v>149</v>
      </c>
      <c r="B46" s="3" t="s">
        <v>92</v>
      </c>
      <c r="C46" s="3" t="s">
        <v>56</v>
      </c>
      <c r="D46" s="315">
        <v>49.96</v>
      </c>
      <c r="E46" s="316">
        <v>1.5069999999999999</v>
      </c>
      <c r="F46" s="315">
        <v>15.18</v>
      </c>
      <c r="G46" s="315">
        <v>12.656000000000001</v>
      </c>
      <c r="H46" s="316">
        <v>0.17699999999999999</v>
      </c>
      <c r="I46" s="315">
        <v>5.92</v>
      </c>
      <c r="J46" s="315">
        <v>8.35</v>
      </c>
      <c r="K46" s="316">
        <v>3.49</v>
      </c>
      <c r="L46" s="316">
        <v>1.37</v>
      </c>
      <c r="M46" s="316">
        <v>0.32</v>
      </c>
      <c r="N46" s="317"/>
      <c r="O46" s="317"/>
      <c r="P46" s="317"/>
      <c r="Q46" s="4">
        <f t="shared" si="70"/>
        <v>50.469744418628146</v>
      </c>
      <c r="R46" s="10">
        <f t="shared" si="71"/>
        <v>1.5073014602920585</v>
      </c>
      <c r="S46" s="4">
        <f t="shared" si="72"/>
        <v>15.334882311344581</v>
      </c>
      <c r="T46" s="4">
        <f t="shared" si="73"/>
        <v>12.785129811092032</v>
      </c>
      <c r="U46" s="10">
        <f t="shared" si="74"/>
        <v>0.17880593999393879</v>
      </c>
      <c r="V46" s="10">
        <f t="shared" si="75"/>
        <v>5.9804020608142237</v>
      </c>
      <c r="W46" s="10">
        <f t="shared" si="76"/>
        <v>8.4351954742903335</v>
      </c>
      <c r="X46" s="10">
        <f t="shared" si="77"/>
        <v>3.5256086473381152</v>
      </c>
      <c r="Y46" s="10">
        <f t="shared" si="78"/>
        <v>1.3839781796141024</v>
      </c>
      <c r="Z46" s="10">
        <f t="shared" si="79"/>
        <v>0.32326497626022832</v>
      </c>
      <c r="AA46" s="10">
        <f t="shared" si="80"/>
        <v>0</v>
      </c>
      <c r="AB46" s="10">
        <f t="shared" si="81"/>
        <v>0</v>
      </c>
      <c r="AC46" s="10">
        <f t="shared" si="82"/>
        <v>0</v>
      </c>
      <c r="AD46" s="317"/>
      <c r="AE46" s="317"/>
      <c r="AF46" s="315">
        <v>1.51</v>
      </c>
      <c r="AG46" s="315">
        <v>100.5</v>
      </c>
      <c r="AH46" s="11">
        <f t="shared" si="83"/>
        <v>11373.036093418261</v>
      </c>
      <c r="AI46" s="11">
        <f t="shared" si="84"/>
        <v>9031.9617614283743</v>
      </c>
      <c r="AJ46" s="11">
        <f t="shared" si="85"/>
        <v>1396.4210229674509</v>
      </c>
      <c r="AK46" s="317">
        <v>201</v>
      </c>
      <c r="AL46" s="317">
        <v>19</v>
      </c>
      <c r="AM46" s="317">
        <v>30</v>
      </c>
      <c r="AN46" s="317">
        <v>247</v>
      </c>
      <c r="AO46" s="317">
        <v>114</v>
      </c>
      <c r="AP46" s="317">
        <v>31.8</v>
      </c>
      <c r="AQ46" s="317">
        <v>77</v>
      </c>
      <c r="AR46" s="318">
        <v>7.5</v>
      </c>
      <c r="AS46" s="318">
        <v>84</v>
      </c>
      <c r="AT46" s="317">
        <v>21</v>
      </c>
      <c r="AU46" s="317">
        <v>40</v>
      </c>
      <c r="AV46" s="317">
        <v>235</v>
      </c>
      <c r="AW46" s="317">
        <v>51.2</v>
      </c>
      <c r="AX46" s="317">
        <v>0.1</v>
      </c>
      <c r="AY46" s="315">
        <v>33.4</v>
      </c>
      <c r="AZ46" s="315">
        <v>93.9</v>
      </c>
      <c r="BA46" s="315">
        <v>14.1</v>
      </c>
      <c r="BB46" s="315">
        <v>60.6</v>
      </c>
      <c r="BC46" s="315">
        <v>12.5</v>
      </c>
      <c r="BD46" s="315">
        <v>1.73</v>
      </c>
      <c r="BE46" s="315">
        <v>11.8</v>
      </c>
      <c r="BF46" s="315">
        <v>1.75</v>
      </c>
      <c r="BG46" s="315">
        <v>10.4</v>
      </c>
      <c r="BH46" s="315">
        <v>1.99</v>
      </c>
      <c r="BI46" s="315">
        <v>5.57</v>
      </c>
      <c r="BJ46" s="316">
        <v>0.81899999999999995</v>
      </c>
      <c r="BK46" s="316">
        <v>4.9400000000000004</v>
      </c>
      <c r="BL46" s="316">
        <v>0.66900000000000004</v>
      </c>
      <c r="BM46" s="317" t="s">
        <v>137</v>
      </c>
      <c r="BN46" s="317">
        <v>1.77</v>
      </c>
      <c r="BO46" s="317">
        <v>0.43</v>
      </c>
      <c r="BP46" s="317">
        <v>9</v>
      </c>
      <c r="BQ46" s="317">
        <v>0.37</v>
      </c>
      <c r="BR46" s="317">
        <v>92</v>
      </c>
      <c r="BS46" s="317">
        <v>2.4</v>
      </c>
      <c r="BT46" s="317">
        <v>2.2999999999999998</v>
      </c>
      <c r="BU46" s="317">
        <v>4</v>
      </c>
      <c r="BV46" s="317" t="s">
        <v>132</v>
      </c>
      <c r="BW46" s="317" t="s">
        <v>130</v>
      </c>
      <c r="BX46" s="317"/>
      <c r="BY46" s="317"/>
      <c r="BZ46" s="317"/>
      <c r="CA46" s="317" t="s">
        <v>131</v>
      </c>
      <c r="CB46" s="317"/>
      <c r="CC46" s="317"/>
      <c r="CD46" s="317"/>
      <c r="CE46" s="317"/>
      <c r="CF46" s="317">
        <v>0.15</v>
      </c>
      <c r="CG46" s="11">
        <f t="shared" si="86"/>
        <v>42.8644041536228</v>
      </c>
      <c r="CH46" s="10">
        <f t="shared" si="87"/>
        <v>0.51567344750303046</v>
      </c>
      <c r="CI46" s="10">
        <f t="shared" si="88"/>
        <v>0.39255014326647564</v>
      </c>
      <c r="CJ46" s="4">
        <f t="shared" si="89"/>
        <v>4.8600000000000003</v>
      </c>
      <c r="CK46" s="4">
        <f t="shared" si="90"/>
        <v>4.58984375</v>
      </c>
      <c r="CL46" s="4">
        <f t="shared" si="100"/>
        <v>1.796875</v>
      </c>
      <c r="CM46" s="4">
        <f t="shared" si="91"/>
        <v>24.324324324324326</v>
      </c>
      <c r="CN46" s="4">
        <f t="shared" si="92"/>
        <v>4.5930063718204952</v>
      </c>
      <c r="CO46" s="4">
        <f t="shared" si="93"/>
        <v>6.7611336032388651</v>
      </c>
      <c r="CP46" s="4">
        <f t="shared" si="94"/>
        <v>2.1052631578947367</v>
      </c>
      <c r="CQ46" s="10">
        <f t="shared" si="95"/>
        <v>0.43420927298552708</v>
      </c>
      <c r="CR46" s="4">
        <f t="shared" si="96"/>
        <v>8.2333333333333325</v>
      </c>
      <c r="CS46" s="40">
        <f t="shared" si="97"/>
        <v>779.52431093659868</v>
      </c>
      <c r="CT46" s="4">
        <f t="shared" si="98"/>
        <v>54.826893946483757</v>
      </c>
      <c r="CU46" s="4">
        <f t="shared" si="99"/>
        <v>4.5765785579718345</v>
      </c>
      <c r="CV46" s="11">
        <f t="shared" si="101"/>
        <v>562.74098680050542</v>
      </c>
      <c r="CW46" s="11">
        <f t="shared" si="102"/>
        <v>437.6111524380832</v>
      </c>
      <c r="CX46" s="10"/>
      <c r="CY46" s="10"/>
      <c r="CZ46" s="10"/>
      <c r="DA46" s="4"/>
      <c r="DB46" s="31"/>
      <c r="DC46" s="31"/>
      <c r="DD46" s="32"/>
      <c r="DE46" s="32"/>
      <c r="DF46" s="11"/>
      <c r="DG46" s="11"/>
      <c r="DH46" s="317"/>
      <c r="DI46" s="317"/>
      <c r="DJ46" s="317"/>
      <c r="DK46" s="317"/>
      <c r="DL46" s="317"/>
      <c r="DM46" s="317"/>
    </row>
    <row r="47" spans="1:117" s="3" customFormat="1" ht="14" customHeight="1">
      <c r="A47" s="3" t="s">
        <v>152</v>
      </c>
      <c r="B47" s="3" t="s">
        <v>92</v>
      </c>
      <c r="C47" s="3" t="s">
        <v>56</v>
      </c>
      <c r="D47" s="4">
        <v>52.19</v>
      </c>
      <c r="E47" s="10">
        <v>1.53</v>
      </c>
      <c r="F47" s="4">
        <v>15.06</v>
      </c>
      <c r="G47" s="315">
        <v>10.434000000000001</v>
      </c>
      <c r="H47" s="10">
        <v>0.154</v>
      </c>
      <c r="I47" s="4">
        <v>6</v>
      </c>
      <c r="J47" s="4">
        <v>9.34</v>
      </c>
      <c r="K47" s="10">
        <v>3.81</v>
      </c>
      <c r="L47" s="10">
        <v>0.24</v>
      </c>
      <c r="M47" s="10">
        <v>0.31</v>
      </c>
      <c r="N47" s="9"/>
      <c r="O47" s="9"/>
      <c r="P47" s="9"/>
      <c r="Q47" s="4">
        <f t="shared" si="70"/>
        <v>52.653349475383379</v>
      </c>
      <c r="R47" s="10">
        <f t="shared" si="71"/>
        <v>1.5303060612122426</v>
      </c>
      <c r="S47" s="4">
        <f t="shared" si="72"/>
        <v>15.193704600484264</v>
      </c>
      <c r="T47" s="4">
        <f t="shared" si="73"/>
        <v>10.526634382566588</v>
      </c>
      <c r="U47" s="10">
        <f t="shared" si="74"/>
        <v>0.15536723163841809</v>
      </c>
      <c r="V47" s="10">
        <f t="shared" si="75"/>
        <v>6.0532687651331729</v>
      </c>
      <c r="W47" s="10">
        <f t="shared" si="76"/>
        <v>9.422921711057306</v>
      </c>
      <c r="X47" s="10">
        <f t="shared" si="77"/>
        <v>3.8438256658595646</v>
      </c>
      <c r="Y47" s="10">
        <f t="shared" si="78"/>
        <v>0.24213075060532691</v>
      </c>
      <c r="Z47" s="10">
        <f t="shared" si="79"/>
        <v>0.31275221953188059</v>
      </c>
      <c r="AA47" s="10">
        <f t="shared" si="80"/>
        <v>0</v>
      </c>
      <c r="AB47" s="10">
        <f t="shared" si="81"/>
        <v>0</v>
      </c>
      <c r="AC47" s="10">
        <f t="shared" si="82"/>
        <v>0</v>
      </c>
      <c r="AD47" s="9"/>
      <c r="AE47" s="9"/>
      <c r="AF47" s="4">
        <v>1.68</v>
      </c>
      <c r="AG47" s="4">
        <v>100.8</v>
      </c>
      <c r="AH47" s="11">
        <f t="shared" si="83"/>
        <v>1992.3566878980891</v>
      </c>
      <c r="AI47" s="11">
        <f t="shared" si="84"/>
        <v>9169.8085567255566</v>
      </c>
      <c r="AJ47" s="11">
        <f t="shared" si="85"/>
        <v>1352.7828659997183</v>
      </c>
      <c r="AK47" s="9">
        <v>33</v>
      </c>
      <c r="AL47" s="9">
        <v>15</v>
      </c>
      <c r="AM47" s="9">
        <v>30</v>
      </c>
      <c r="AN47" s="9">
        <v>220</v>
      </c>
      <c r="AO47" s="9">
        <v>122</v>
      </c>
      <c r="AP47" s="9">
        <v>25.2</v>
      </c>
      <c r="AQ47" s="9">
        <v>64</v>
      </c>
      <c r="AR47" s="11">
        <v>32.799999999999997</v>
      </c>
      <c r="AS47" s="11">
        <v>79.3</v>
      </c>
      <c r="AT47" s="9">
        <v>20</v>
      </c>
      <c r="AU47" s="9">
        <v>5</v>
      </c>
      <c r="AV47" s="9">
        <v>266</v>
      </c>
      <c r="AW47" s="9">
        <v>33.1</v>
      </c>
      <c r="AX47" s="9">
        <v>0.2</v>
      </c>
      <c r="AY47" s="4">
        <v>21.4</v>
      </c>
      <c r="AZ47" s="4">
        <v>59.2</v>
      </c>
      <c r="BA47" s="4">
        <v>8.67</v>
      </c>
      <c r="BB47" s="4">
        <v>35.1</v>
      </c>
      <c r="BC47" s="4">
        <v>7.13</v>
      </c>
      <c r="BD47" s="4">
        <v>1.69</v>
      </c>
      <c r="BE47" s="4">
        <v>6.94</v>
      </c>
      <c r="BF47" s="4">
        <v>1.02</v>
      </c>
      <c r="BG47" s="4">
        <v>5.78</v>
      </c>
      <c r="BH47" s="4">
        <v>1.17</v>
      </c>
      <c r="BI47" s="4">
        <v>3.36</v>
      </c>
      <c r="BJ47" s="10">
        <v>0.51100000000000001</v>
      </c>
      <c r="BK47" s="10">
        <v>3.25</v>
      </c>
      <c r="BL47" s="10">
        <v>0.48399999999999999</v>
      </c>
      <c r="BM47" s="9">
        <v>2</v>
      </c>
      <c r="BN47" s="9">
        <v>2.63</v>
      </c>
      <c r="BO47" s="9">
        <v>0.82</v>
      </c>
      <c r="BP47" s="9">
        <v>8.3000000000000007</v>
      </c>
      <c r="BQ47" s="9">
        <v>0.47</v>
      </c>
      <c r="BR47" s="9">
        <v>133</v>
      </c>
      <c r="BS47" s="9">
        <v>3.2</v>
      </c>
      <c r="BT47" s="9">
        <v>2.5</v>
      </c>
      <c r="BU47" s="9">
        <v>9</v>
      </c>
      <c r="BV47" s="9" t="s">
        <v>132</v>
      </c>
      <c r="BW47" s="9" t="s">
        <v>130</v>
      </c>
      <c r="BX47" s="9"/>
      <c r="BY47" s="9"/>
      <c r="BZ47" s="9"/>
      <c r="CA47" s="9" t="s">
        <v>131</v>
      </c>
      <c r="CB47" s="9"/>
      <c r="CC47" s="9"/>
      <c r="CD47" s="9"/>
      <c r="CE47" s="9"/>
      <c r="CF47" s="9" t="s">
        <v>135</v>
      </c>
      <c r="CG47" s="11">
        <f t="shared" si="86"/>
        <v>47.978581160609721</v>
      </c>
      <c r="CH47" s="10">
        <f t="shared" si="87"/>
        <v>0.48758763149467588</v>
      </c>
      <c r="CI47" s="10">
        <f t="shared" si="88"/>
        <v>6.2992125984251968E-2</v>
      </c>
      <c r="CJ47" s="4">
        <f t="shared" si="89"/>
        <v>4.05</v>
      </c>
      <c r="CK47" s="4">
        <f t="shared" si="90"/>
        <v>8.0362537764350446</v>
      </c>
      <c r="CL47" s="4">
        <f t="shared" si="100"/>
        <v>4.0181268882175223</v>
      </c>
      <c r="CM47" s="4">
        <f t="shared" si="91"/>
        <v>17.659574468085108</v>
      </c>
      <c r="CN47" s="4">
        <f t="shared" si="92"/>
        <v>4.4730931515741634</v>
      </c>
      <c r="CO47" s="4">
        <f t="shared" si="93"/>
        <v>6.5846153846153843</v>
      </c>
      <c r="CP47" s="4">
        <f t="shared" si="94"/>
        <v>1.7784615384615385</v>
      </c>
      <c r="CQ47" s="10">
        <f t="shared" si="95"/>
        <v>0.73233738595038689</v>
      </c>
      <c r="CR47" s="4">
        <f t="shared" si="96"/>
        <v>7.333333333333333</v>
      </c>
      <c r="CS47" s="40">
        <f t="shared" si="97"/>
        <v>811.44219350825881</v>
      </c>
      <c r="CT47" s="4">
        <f t="shared" si="98"/>
        <v>54.097902689017396</v>
      </c>
      <c r="CU47" s="4">
        <f t="shared" si="99"/>
        <v>4.5559789852614552</v>
      </c>
      <c r="CV47" s="11">
        <f t="shared" si="101"/>
        <v>584.18858013753857</v>
      </c>
      <c r="CW47" s="11">
        <f t="shared" si="102"/>
        <v>457.78211045112823</v>
      </c>
      <c r="CX47" s="10"/>
      <c r="CY47" s="10"/>
      <c r="CZ47" s="10"/>
      <c r="DA47" s="4"/>
      <c r="DB47" s="31"/>
      <c r="DC47" s="31"/>
      <c r="DD47" s="32"/>
      <c r="DE47" s="32"/>
      <c r="DF47" s="11"/>
      <c r="DG47" s="11"/>
      <c r="DH47" s="9"/>
      <c r="DI47" s="9"/>
      <c r="DJ47" s="9"/>
      <c r="DK47" s="9"/>
      <c r="DL47" s="9"/>
      <c r="DM47" s="9"/>
    </row>
    <row r="48" spans="1:117" s="3" customFormat="1" ht="14" customHeight="1">
      <c r="A48" s="3" t="s">
        <v>155</v>
      </c>
      <c r="B48" s="3" t="s">
        <v>92</v>
      </c>
      <c r="C48" s="3" t="s">
        <v>57</v>
      </c>
      <c r="D48" s="4">
        <v>55.8</v>
      </c>
      <c r="E48" s="10">
        <v>1.2450000000000001</v>
      </c>
      <c r="F48" s="4">
        <v>15.23</v>
      </c>
      <c r="G48" s="315">
        <v>9.5590000000000011</v>
      </c>
      <c r="H48" s="10">
        <v>0.13400000000000001</v>
      </c>
      <c r="I48" s="9">
        <v>4.45</v>
      </c>
      <c r="J48" s="4">
        <v>8.32</v>
      </c>
      <c r="K48" s="10">
        <v>3.63</v>
      </c>
      <c r="L48" s="10">
        <v>0.59</v>
      </c>
      <c r="M48" s="10">
        <v>0.23</v>
      </c>
      <c r="N48" s="9"/>
      <c r="O48" s="9"/>
      <c r="P48" s="9"/>
      <c r="Q48" s="4">
        <f t="shared" si="70"/>
        <v>56.278366111951591</v>
      </c>
      <c r="R48" s="10">
        <f t="shared" si="71"/>
        <v>1.2452490498099622</v>
      </c>
      <c r="S48" s="4">
        <f t="shared" si="72"/>
        <v>15.360564800806859</v>
      </c>
      <c r="T48" s="4">
        <f t="shared" si="73"/>
        <v>9.6409480584972282</v>
      </c>
      <c r="U48" s="10">
        <f t="shared" si="74"/>
        <v>0.13514876449823501</v>
      </c>
      <c r="V48" s="10">
        <f t="shared" si="75"/>
        <v>4.48814926878467</v>
      </c>
      <c r="W48" s="10">
        <f t="shared" si="76"/>
        <v>8.3913262733232479</v>
      </c>
      <c r="X48" s="10">
        <f t="shared" si="77"/>
        <v>3.6611195158850229</v>
      </c>
      <c r="Y48" s="10">
        <f t="shared" si="78"/>
        <v>0.59505799293998995</v>
      </c>
      <c r="Z48" s="10">
        <f t="shared" si="79"/>
        <v>0.2319717599596571</v>
      </c>
      <c r="AA48" s="10">
        <f t="shared" si="80"/>
        <v>0</v>
      </c>
      <c r="AB48" s="10">
        <f t="shared" si="81"/>
        <v>0</v>
      </c>
      <c r="AC48" s="10">
        <f t="shared" si="82"/>
        <v>0</v>
      </c>
      <c r="AD48" s="9"/>
      <c r="AE48" s="9"/>
      <c r="AF48" s="4">
        <v>1.65</v>
      </c>
      <c r="AG48" s="4">
        <v>100.8</v>
      </c>
      <c r="AH48" s="11">
        <f t="shared" si="83"/>
        <v>4897.8768577494693</v>
      </c>
      <c r="AI48" s="11">
        <f t="shared" si="84"/>
        <v>7461.7069628256995</v>
      </c>
      <c r="AJ48" s="11">
        <f t="shared" si="85"/>
        <v>1003.6776102578553</v>
      </c>
      <c r="AK48" s="9">
        <v>125</v>
      </c>
      <c r="AL48" s="9">
        <v>17</v>
      </c>
      <c r="AM48" s="9">
        <v>26</v>
      </c>
      <c r="AN48" s="9">
        <v>206</v>
      </c>
      <c r="AO48" s="9">
        <v>87</v>
      </c>
      <c r="AP48" s="9">
        <v>21.2</v>
      </c>
      <c r="AQ48" s="9">
        <v>51</v>
      </c>
      <c r="AR48" s="11">
        <v>52.7</v>
      </c>
      <c r="AS48" s="11">
        <v>66</v>
      </c>
      <c r="AT48" s="9">
        <v>20</v>
      </c>
      <c r="AU48" s="9">
        <v>13</v>
      </c>
      <c r="AV48" s="9">
        <v>244</v>
      </c>
      <c r="AW48" s="9">
        <v>23.3</v>
      </c>
      <c r="AX48" s="9">
        <v>0.4</v>
      </c>
      <c r="AY48" s="4">
        <v>14.1</v>
      </c>
      <c r="AZ48" s="4">
        <v>37.9</v>
      </c>
      <c r="BA48" s="4">
        <v>5.59</v>
      </c>
      <c r="BB48" s="4">
        <v>25.1</v>
      </c>
      <c r="BC48" s="4">
        <v>4.9800000000000004</v>
      </c>
      <c r="BD48" s="4">
        <v>1.26</v>
      </c>
      <c r="BE48" s="4">
        <v>4.67</v>
      </c>
      <c r="BF48" s="4">
        <v>0.75</v>
      </c>
      <c r="BG48" s="4">
        <v>4.7300000000000004</v>
      </c>
      <c r="BH48" s="4">
        <v>0.92</v>
      </c>
      <c r="BI48" s="4">
        <v>2.66</v>
      </c>
      <c r="BJ48" s="10">
        <v>0.40799999999999997</v>
      </c>
      <c r="BK48" s="10">
        <v>2.7</v>
      </c>
      <c r="BL48" s="10">
        <v>0.40100000000000002</v>
      </c>
      <c r="BM48" s="9" t="s">
        <v>137</v>
      </c>
      <c r="BN48" s="9">
        <v>2.5299999999999998</v>
      </c>
      <c r="BO48" s="9">
        <v>0.53</v>
      </c>
      <c r="BP48" s="9">
        <v>7.6</v>
      </c>
      <c r="BQ48" s="9">
        <v>0.45</v>
      </c>
      <c r="BR48" s="9">
        <v>124</v>
      </c>
      <c r="BS48" s="9">
        <v>3.2</v>
      </c>
      <c r="BT48" s="9">
        <v>2.8</v>
      </c>
      <c r="BU48" s="9">
        <v>4</v>
      </c>
      <c r="BV48" s="9" t="s">
        <v>132</v>
      </c>
      <c r="BW48" s="9" t="s">
        <v>130</v>
      </c>
      <c r="BX48" s="9"/>
      <c r="BY48" s="9"/>
      <c r="BZ48" s="9"/>
      <c r="CA48" s="9" t="s">
        <v>131</v>
      </c>
      <c r="CB48" s="9"/>
      <c r="CC48" s="9"/>
      <c r="CD48" s="9"/>
      <c r="CE48" s="9"/>
      <c r="CF48" s="9">
        <v>0.06</v>
      </c>
      <c r="CG48" s="11">
        <f t="shared" si="86"/>
        <v>42.747278728127789</v>
      </c>
      <c r="CH48" s="10">
        <f t="shared" si="87"/>
        <v>0.53328315026904116</v>
      </c>
      <c r="CI48" s="10">
        <f t="shared" si="88"/>
        <v>0.16253443526170799</v>
      </c>
      <c r="CJ48" s="4">
        <f t="shared" si="89"/>
        <v>4.22</v>
      </c>
      <c r="CK48" s="4">
        <f t="shared" si="90"/>
        <v>10.472103004291846</v>
      </c>
      <c r="CL48" s="4">
        <f t="shared" si="100"/>
        <v>5.3218884120171674</v>
      </c>
      <c r="CM48" s="4">
        <f t="shared" si="91"/>
        <v>16.888888888888889</v>
      </c>
      <c r="CN48" s="4">
        <f t="shared" si="92"/>
        <v>3.547585560243788</v>
      </c>
      <c r="CO48" s="4">
        <f t="shared" si="93"/>
        <v>5.2222222222222214</v>
      </c>
      <c r="CP48" s="4">
        <f t="shared" si="94"/>
        <v>1.751851851851852</v>
      </c>
      <c r="CQ48" s="10">
        <f t="shared" si="95"/>
        <v>0.79642784302528258</v>
      </c>
      <c r="CR48" s="4">
        <f t="shared" si="96"/>
        <v>7.9230769230769234</v>
      </c>
      <c r="CS48" s="40">
        <f t="shared" si="97"/>
        <v>827.37628591057035</v>
      </c>
      <c r="CT48" s="4">
        <f t="shared" si="98"/>
        <v>52.95363963870831</v>
      </c>
      <c r="CU48" s="4">
        <f t="shared" si="99"/>
        <v>3.7968760981684957</v>
      </c>
      <c r="CV48" s="11">
        <f t="shared" si="101"/>
        <v>618.26375817611722</v>
      </c>
      <c r="CW48" s="11">
        <f t="shared" si="102"/>
        <v>503.28795546336767</v>
      </c>
      <c r="CX48" s="10"/>
      <c r="CY48" s="10"/>
      <c r="CZ48" s="10"/>
      <c r="DA48" s="4"/>
      <c r="DB48" s="31"/>
      <c r="DC48" s="31"/>
      <c r="DD48" s="32"/>
      <c r="DE48" s="32"/>
      <c r="DF48" s="11"/>
      <c r="DG48" s="11"/>
      <c r="DH48" s="9"/>
      <c r="DI48" s="9"/>
      <c r="DJ48" s="9"/>
      <c r="DK48" s="9"/>
      <c r="DL48" s="9"/>
      <c r="DM48" s="9"/>
    </row>
    <row r="49" spans="1:117" s="3" customFormat="1" ht="14" customHeight="1">
      <c r="A49" s="3" t="s">
        <v>157</v>
      </c>
      <c r="B49" s="3" t="s">
        <v>92</v>
      </c>
      <c r="C49" s="3" t="s">
        <v>57</v>
      </c>
      <c r="D49" s="4">
        <v>56.22</v>
      </c>
      <c r="E49" s="10">
        <v>0.99399999999999999</v>
      </c>
      <c r="F49" s="4">
        <v>14.92</v>
      </c>
      <c r="G49" s="315">
        <v>7.7170000000000005</v>
      </c>
      <c r="H49" s="10">
        <v>0.123</v>
      </c>
      <c r="I49" s="9">
        <v>4.24</v>
      </c>
      <c r="J49" s="4">
        <v>7.96</v>
      </c>
      <c r="K49" s="10">
        <v>4.1100000000000003</v>
      </c>
      <c r="L49" s="10">
        <v>0.92</v>
      </c>
      <c r="M49" s="10">
        <v>0.19</v>
      </c>
      <c r="N49" s="9"/>
      <c r="O49" s="9"/>
      <c r="P49" s="9"/>
      <c r="Q49" s="4">
        <f t="shared" si="70"/>
        <v>57.714813674160766</v>
      </c>
      <c r="R49" s="10">
        <f t="shared" si="71"/>
        <v>0.99419883976795376</v>
      </c>
      <c r="S49" s="4">
        <f t="shared" si="72"/>
        <v>15.316702597269275</v>
      </c>
      <c r="T49" s="4">
        <f t="shared" si="73"/>
        <v>7.9221845806385387</v>
      </c>
      <c r="U49" s="10">
        <f t="shared" si="74"/>
        <v>0.12627040344933788</v>
      </c>
      <c r="V49" s="10">
        <f t="shared" si="75"/>
        <v>4.3527358587414025</v>
      </c>
      <c r="W49" s="10">
        <f t="shared" si="76"/>
        <v>8.171645621599426</v>
      </c>
      <c r="X49" s="10">
        <f t="shared" si="77"/>
        <v>4.2192793347705582</v>
      </c>
      <c r="Y49" s="10">
        <f t="shared" si="78"/>
        <v>0.94446155425520995</v>
      </c>
      <c r="Z49" s="10">
        <f t="shared" si="79"/>
        <v>0.19505184272661946</v>
      </c>
      <c r="AA49" s="10">
        <f t="shared" si="80"/>
        <v>0</v>
      </c>
      <c r="AB49" s="10">
        <f t="shared" si="81"/>
        <v>0</v>
      </c>
      <c r="AC49" s="10">
        <f t="shared" si="82"/>
        <v>0</v>
      </c>
      <c r="AD49" s="9"/>
      <c r="AE49" s="9"/>
      <c r="AF49" s="4">
        <v>1.67</v>
      </c>
      <c r="AG49" s="4">
        <v>99.08</v>
      </c>
      <c r="AH49" s="11">
        <f t="shared" si="83"/>
        <v>7637.3673036093414</v>
      </c>
      <c r="AI49" s="11">
        <f t="shared" si="84"/>
        <v>5957.3788924086302</v>
      </c>
      <c r="AJ49" s="11">
        <f t="shared" si="85"/>
        <v>829.12498238692399</v>
      </c>
      <c r="AK49" s="9">
        <v>213</v>
      </c>
      <c r="AL49" s="9">
        <v>15</v>
      </c>
      <c r="AM49" s="9">
        <v>22</v>
      </c>
      <c r="AN49" s="9">
        <v>175</v>
      </c>
      <c r="AO49" s="9">
        <v>80</v>
      </c>
      <c r="AP49" s="9">
        <v>19.5</v>
      </c>
      <c r="AQ49" s="9">
        <v>62</v>
      </c>
      <c r="AR49" s="11">
        <v>22</v>
      </c>
      <c r="AS49" s="11">
        <v>60.5</v>
      </c>
      <c r="AT49" s="9">
        <v>18</v>
      </c>
      <c r="AU49" s="9">
        <v>21</v>
      </c>
      <c r="AV49" s="9">
        <v>243</v>
      </c>
      <c r="AW49" s="9">
        <v>22.9</v>
      </c>
      <c r="AX49" s="9">
        <v>0.1</v>
      </c>
      <c r="AY49" s="4">
        <v>15.9</v>
      </c>
      <c r="AZ49" s="4">
        <v>44.3</v>
      </c>
      <c r="BA49" s="4">
        <v>6.28</v>
      </c>
      <c r="BB49" s="4">
        <v>26.2</v>
      </c>
      <c r="BC49" s="4">
        <v>5.35</v>
      </c>
      <c r="BD49" s="4">
        <v>1.2</v>
      </c>
      <c r="BE49" s="4">
        <v>5.17</v>
      </c>
      <c r="BF49" s="4">
        <v>0.85</v>
      </c>
      <c r="BG49" s="4">
        <v>5.22</v>
      </c>
      <c r="BH49" s="4">
        <v>0.99</v>
      </c>
      <c r="BI49" s="4">
        <v>2.93</v>
      </c>
      <c r="BJ49" s="10">
        <v>0.47299999999999998</v>
      </c>
      <c r="BK49" s="10">
        <v>2.94</v>
      </c>
      <c r="BL49" s="10">
        <v>0.41</v>
      </c>
      <c r="BM49" s="9" t="s">
        <v>137</v>
      </c>
      <c r="BN49" s="9">
        <v>2.62</v>
      </c>
      <c r="BO49" s="9">
        <v>0.48</v>
      </c>
      <c r="BP49" s="9">
        <v>7</v>
      </c>
      <c r="BQ49" s="9">
        <v>0.46</v>
      </c>
      <c r="BR49" s="9">
        <v>133</v>
      </c>
      <c r="BS49" s="9">
        <v>3.6</v>
      </c>
      <c r="BT49" s="9">
        <v>2.6</v>
      </c>
      <c r="BU49" s="9">
        <v>6</v>
      </c>
      <c r="BV49" s="9">
        <v>0.6</v>
      </c>
      <c r="BW49" s="9" t="s">
        <v>130</v>
      </c>
      <c r="BX49" s="9"/>
      <c r="BY49" s="9"/>
      <c r="BZ49" s="9"/>
      <c r="CA49" s="9" t="s">
        <v>131</v>
      </c>
      <c r="CB49" s="9"/>
      <c r="CC49" s="9"/>
      <c r="CD49" s="9"/>
      <c r="CE49" s="9"/>
      <c r="CF49" s="9">
        <v>0.08</v>
      </c>
      <c r="CG49" s="11">
        <f t="shared" si="86"/>
        <v>46.842880041452908</v>
      </c>
      <c r="CH49" s="10">
        <f t="shared" si="87"/>
        <v>0.51085874035970413</v>
      </c>
      <c r="CI49" s="10">
        <f t="shared" si="88"/>
        <v>0.22384428223844283</v>
      </c>
      <c r="CJ49" s="4">
        <f t="shared" si="89"/>
        <v>5.03</v>
      </c>
      <c r="CK49" s="4">
        <f t="shared" si="90"/>
        <v>10.611353711790393</v>
      </c>
      <c r="CL49" s="4">
        <f t="shared" si="100"/>
        <v>5.8078602620087336</v>
      </c>
      <c r="CM49" s="4">
        <f t="shared" si="91"/>
        <v>15.217391304347826</v>
      </c>
      <c r="CN49" s="4">
        <f t="shared" si="92"/>
        <v>3.673899939722725</v>
      </c>
      <c r="CO49" s="4">
        <f t="shared" si="93"/>
        <v>5.4081632653061229</v>
      </c>
      <c r="CP49" s="4">
        <f t="shared" si="94"/>
        <v>1.7755102040816326</v>
      </c>
      <c r="CQ49" s="10">
        <f t="shared" si="95"/>
        <v>0.69551753641698044</v>
      </c>
      <c r="CR49" s="4">
        <f t="shared" si="96"/>
        <v>7.9545454545454541</v>
      </c>
      <c r="CS49" s="40">
        <f t="shared" si="97"/>
        <v>810.46750723812204</v>
      </c>
      <c r="CT49" s="4">
        <f t="shared" si="98"/>
        <v>51.314234242595653</v>
      </c>
      <c r="CU49" s="4">
        <f t="shared" si="99"/>
        <v>3.7562677003778497</v>
      </c>
      <c r="CV49" s="11">
        <f t="shared" si="101"/>
        <v>624.75289832489977</v>
      </c>
      <c r="CW49" s="11">
        <f t="shared" si="102"/>
        <v>510.33981340191326</v>
      </c>
      <c r="CX49" s="10"/>
      <c r="CY49" s="10"/>
      <c r="CZ49" s="10"/>
      <c r="DA49" s="4"/>
      <c r="DB49" s="31"/>
      <c r="DC49" s="31"/>
      <c r="DD49" s="32"/>
      <c r="DE49" s="32"/>
      <c r="DF49" s="11"/>
      <c r="DG49" s="11"/>
      <c r="DH49" s="9"/>
      <c r="DI49" s="9"/>
      <c r="DJ49" s="9"/>
      <c r="DK49" s="9"/>
      <c r="DL49" s="9"/>
      <c r="DM49" s="9"/>
    </row>
    <row r="50" spans="1:117" s="3" customFormat="1" ht="14" customHeight="1">
      <c r="A50" s="3" t="s">
        <v>158</v>
      </c>
      <c r="B50" s="3" t="s">
        <v>92</v>
      </c>
      <c r="C50" s="3" t="s">
        <v>57</v>
      </c>
      <c r="D50" s="4">
        <v>57.46</v>
      </c>
      <c r="E50" s="10">
        <v>2.129</v>
      </c>
      <c r="F50" s="4">
        <v>14.42</v>
      </c>
      <c r="G50" s="315">
        <v>8.8309999999999995</v>
      </c>
      <c r="H50" s="10">
        <v>0.158</v>
      </c>
      <c r="I50" s="9">
        <v>3.53</v>
      </c>
      <c r="J50" s="4">
        <v>8.66</v>
      </c>
      <c r="K50" s="10">
        <v>3.56</v>
      </c>
      <c r="L50" s="10">
        <v>0.36</v>
      </c>
      <c r="M50" s="10" t="s">
        <v>159</v>
      </c>
      <c r="N50" s="9"/>
      <c r="O50" s="9"/>
      <c r="P50" s="9"/>
      <c r="Q50" s="4">
        <f t="shared" si="70"/>
        <v>57.958442606415169</v>
      </c>
      <c r="R50" s="10">
        <f t="shared" si="71"/>
        <v>2.1294258851770356</v>
      </c>
      <c r="S50" s="4">
        <f t="shared" si="72"/>
        <v>14.545087754690337</v>
      </c>
      <c r="T50" s="4">
        <f t="shared" si="73"/>
        <v>8.907605406495863</v>
      </c>
      <c r="U50" s="10">
        <f t="shared" si="74"/>
        <v>0.15937058704861812</v>
      </c>
      <c r="V50" s="10">
        <f t="shared" si="75"/>
        <v>3.5606213435545695</v>
      </c>
      <c r="W50" s="10">
        <f t="shared" si="76"/>
        <v>8.7351220496267903</v>
      </c>
      <c r="X50" s="10">
        <f t="shared" si="77"/>
        <v>3.5908815816017752</v>
      </c>
      <c r="Y50" s="10">
        <f t="shared" si="78"/>
        <v>0.36312285656647164</v>
      </c>
      <c r="Z50" s="10" t="e">
        <f t="shared" si="79"/>
        <v>#VALUE!</v>
      </c>
      <c r="AA50" s="10">
        <f t="shared" si="80"/>
        <v>0</v>
      </c>
      <c r="AB50" s="10">
        <f t="shared" si="81"/>
        <v>0</v>
      </c>
      <c r="AC50" s="10">
        <f t="shared" si="82"/>
        <v>0</v>
      </c>
      <c r="AD50" s="9"/>
      <c r="AE50" s="9"/>
      <c r="AF50" s="4">
        <v>0.76</v>
      </c>
      <c r="AG50" s="4">
        <v>99.9</v>
      </c>
      <c r="AH50" s="11">
        <f t="shared" si="83"/>
        <v>2988.5350318471337</v>
      </c>
      <c r="AI50" s="11">
        <f t="shared" si="84"/>
        <v>12759.818573378241</v>
      </c>
      <c r="AJ50" s="11"/>
      <c r="AK50" s="9">
        <v>53</v>
      </c>
      <c r="AL50" s="9">
        <v>7</v>
      </c>
      <c r="AM50" s="9">
        <v>22</v>
      </c>
      <c r="AN50" s="9">
        <v>207</v>
      </c>
      <c r="AO50" s="9">
        <v>23</v>
      </c>
      <c r="AP50" s="9">
        <v>20.9</v>
      </c>
      <c r="AQ50" s="9">
        <v>41</v>
      </c>
      <c r="AR50" s="11">
        <v>59.4</v>
      </c>
      <c r="AS50" s="11">
        <v>51.9</v>
      </c>
      <c r="AT50" s="9">
        <v>21</v>
      </c>
      <c r="AU50" s="9">
        <v>13</v>
      </c>
      <c r="AV50" s="9">
        <v>245</v>
      </c>
      <c r="AW50" s="9">
        <v>32.6</v>
      </c>
      <c r="AX50" s="9">
        <v>0.2</v>
      </c>
      <c r="AY50" s="4">
        <v>14.5</v>
      </c>
      <c r="AZ50" s="4">
        <v>35.799999999999997</v>
      </c>
      <c r="BA50" s="4">
        <v>5.23</v>
      </c>
      <c r="BB50" s="4">
        <v>22.6</v>
      </c>
      <c r="BC50" s="4">
        <v>5.66</v>
      </c>
      <c r="BD50" s="4">
        <v>1.39</v>
      </c>
      <c r="BE50" s="4">
        <v>5.58</v>
      </c>
      <c r="BF50" s="4">
        <v>0.95</v>
      </c>
      <c r="BG50" s="4">
        <v>6.03</v>
      </c>
      <c r="BH50" s="4">
        <v>1.1200000000000001</v>
      </c>
      <c r="BI50" s="4">
        <v>3.44</v>
      </c>
      <c r="BJ50" s="10">
        <v>0.54100000000000004</v>
      </c>
      <c r="BK50" s="10">
        <v>3.49</v>
      </c>
      <c r="BL50" s="10">
        <v>0.53900000000000003</v>
      </c>
      <c r="BM50" s="9">
        <v>2</v>
      </c>
      <c r="BN50" s="9">
        <v>2.59</v>
      </c>
      <c r="BO50" s="9">
        <v>0.62</v>
      </c>
      <c r="BP50" s="9">
        <v>13.2</v>
      </c>
      <c r="BQ50" s="9">
        <v>0.86</v>
      </c>
      <c r="BR50" s="9">
        <v>189</v>
      </c>
      <c r="BS50" s="9">
        <v>4.3</v>
      </c>
      <c r="BT50" s="9">
        <v>2.4</v>
      </c>
      <c r="BU50" s="9">
        <v>5</v>
      </c>
      <c r="BV50" s="9">
        <v>0.6</v>
      </c>
      <c r="BW50" s="9" t="s">
        <v>130</v>
      </c>
      <c r="BX50" s="9"/>
      <c r="BY50" s="9"/>
      <c r="BZ50" s="9"/>
      <c r="CA50" s="9" t="s">
        <v>131</v>
      </c>
      <c r="CB50" s="9"/>
      <c r="CC50" s="9"/>
      <c r="CD50" s="9"/>
      <c r="CE50" s="9"/>
      <c r="CF50" s="9" t="s">
        <v>135</v>
      </c>
      <c r="CG50" s="11">
        <f t="shared" si="86"/>
        <v>39.065471221185376</v>
      </c>
      <c r="CH50" s="10">
        <f t="shared" si="87"/>
        <v>0.49908743468528838</v>
      </c>
      <c r="CI50" s="10">
        <f t="shared" si="88"/>
        <v>0.10112359550561797</v>
      </c>
      <c r="CJ50" s="4">
        <f t="shared" si="89"/>
        <v>3.92</v>
      </c>
      <c r="CK50" s="4">
        <f t="shared" si="90"/>
        <v>7.5153374233128831</v>
      </c>
      <c r="CL50" s="4">
        <f t="shared" si="100"/>
        <v>5.7975460122699385</v>
      </c>
      <c r="CM50" s="4">
        <f t="shared" si="91"/>
        <v>15.348837209302324</v>
      </c>
      <c r="CN50" s="4">
        <f t="shared" si="92"/>
        <v>2.8224100201902966</v>
      </c>
      <c r="CO50" s="4">
        <f t="shared" si="93"/>
        <v>4.1547277936962752</v>
      </c>
      <c r="CP50" s="4">
        <f t="shared" si="94"/>
        <v>1.7277936962750715</v>
      </c>
      <c r="CQ50" s="10">
        <f t="shared" si="95"/>
        <v>0.75394295294328562</v>
      </c>
      <c r="CR50" s="4">
        <f t="shared" si="96"/>
        <v>9.4090909090909083</v>
      </c>
      <c r="CS50" s="40"/>
      <c r="CT50" s="4"/>
      <c r="CU50" s="4"/>
      <c r="CV50" s="11"/>
      <c r="CW50" s="11"/>
      <c r="CX50" s="10"/>
      <c r="CY50" s="10"/>
      <c r="CZ50" s="10"/>
      <c r="DA50" s="4"/>
      <c r="DB50" s="31"/>
      <c r="DC50" s="31"/>
      <c r="DD50" s="32"/>
      <c r="DE50" s="32"/>
      <c r="DF50" s="11"/>
      <c r="DG50" s="11"/>
      <c r="DH50" s="9"/>
      <c r="DI50" s="9"/>
      <c r="DJ50" s="9"/>
      <c r="DK50" s="9"/>
      <c r="DL50" s="9"/>
      <c r="DM50" s="9"/>
    </row>
    <row r="51" spans="1:117" s="3" customFormat="1" ht="14" customHeight="1">
      <c r="A51" s="3" t="s">
        <v>160</v>
      </c>
      <c r="B51" s="3" t="s">
        <v>92</v>
      </c>
      <c r="C51" s="3" t="s">
        <v>57</v>
      </c>
      <c r="D51" s="4">
        <v>63.53</v>
      </c>
      <c r="E51" s="10">
        <v>0.63500000000000001</v>
      </c>
      <c r="F51" s="4">
        <v>15.52</v>
      </c>
      <c r="G51" s="315">
        <v>6.49</v>
      </c>
      <c r="H51" s="10">
        <v>0.09</v>
      </c>
      <c r="I51" s="9">
        <v>2.81</v>
      </c>
      <c r="J51" s="4">
        <v>5.95</v>
      </c>
      <c r="K51" s="10">
        <v>3.5</v>
      </c>
      <c r="L51" s="10">
        <v>1.06</v>
      </c>
      <c r="M51" s="10">
        <v>0.08</v>
      </c>
      <c r="N51" s="9"/>
      <c r="O51" s="9"/>
      <c r="P51" s="9"/>
      <c r="Q51" s="4">
        <f t="shared" si="70"/>
        <v>63.733948635634036</v>
      </c>
      <c r="R51" s="10">
        <f t="shared" si="71"/>
        <v>0.63512702540508104</v>
      </c>
      <c r="S51" s="4">
        <f t="shared" si="72"/>
        <v>15.569823434991976</v>
      </c>
      <c r="T51" s="4">
        <f t="shared" si="73"/>
        <v>6.5108346709470313</v>
      </c>
      <c r="U51" s="10">
        <f t="shared" si="74"/>
        <v>9.0288924558587488E-2</v>
      </c>
      <c r="V51" s="10">
        <f t="shared" si="75"/>
        <v>2.819020866773676</v>
      </c>
      <c r="W51" s="10">
        <f t="shared" si="76"/>
        <v>5.9691011235955065</v>
      </c>
      <c r="X51" s="10">
        <f t="shared" si="77"/>
        <v>3.51123595505618</v>
      </c>
      <c r="Y51" s="10">
        <f t="shared" si="78"/>
        <v>1.063402889245586</v>
      </c>
      <c r="Z51" s="10">
        <f t="shared" si="79"/>
        <v>8.0256821829855537E-2</v>
      </c>
      <c r="AA51" s="10">
        <f t="shared" si="80"/>
        <v>0</v>
      </c>
      <c r="AB51" s="10">
        <f t="shared" si="81"/>
        <v>0</v>
      </c>
      <c r="AC51" s="10">
        <f t="shared" si="82"/>
        <v>0</v>
      </c>
      <c r="AD51" s="9"/>
      <c r="AE51" s="9"/>
      <c r="AF51" s="4">
        <v>1.1200000000000001</v>
      </c>
      <c r="AG51" s="4">
        <v>100.8</v>
      </c>
      <c r="AH51" s="11">
        <f t="shared" si="83"/>
        <v>8799.575371549894</v>
      </c>
      <c r="AI51" s="11">
        <f t="shared" si="84"/>
        <v>3805.7702179874041</v>
      </c>
      <c r="AJ51" s="11">
        <f t="shared" ref="AJ51:AJ59" si="103">M51*2*30.97/(2*30.97+16*5)*10000</f>
        <v>349.10525574186272</v>
      </c>
      <c r="AK51" s="9">
        <v>192</v>
      </c>
      <c r="AL51" s="9">
        <v>15</v>
      </c>
      <c r="AM51" s="9">
        <v>15</v>
      </c>
      <c r="AN51" s="9">
        <v>110</v>
      </c>
      <c r="AO51" s="9">
        <v>57</v>
      </c>
      <c r="AP51" s="9">
        <v>20.7</v>
      </c>
      <c r="AQ51" s="9">
        <v>65</v>
      </c>
      <c r="AR51" s="11">
        <v>6.1</v>
      </c>
      <c r="AS51" s="11">
        <v>57.4</v>
      </c>
      <c r="AT51" s="9">
        <v>19</v>
      </c>
      <c r="AU51" s="9">
        <v>48</v>
      </c>
      <c r="AV51" s="9">
        <v>193</v>
      </c>
      <c r="AW51" s="9">
        <v>26.1</v>
      </c>
      <c r="AX51" s="9">
        <v>0.7</v>
      </c>
      <c r="AY51" s="4">
        <v>17.7</v>
      </c>
      <c r="AZ51" s="4">
        <v>37.200000000000003</v>
      </c>
      <c r="BA51" s="4">
        <v>4.8600000000000003</v>
      </c>
      <c r="BB51" s="4">
        <v>20.7</v>
      </c>
      <c r="BC51" s="4">
        <v>4.96</v>
      </c>
      <c r="BD51" s="4">
        <v>0.94399999999999995</v>
      </c>
      <c r="BE51" s="4">
        <v>4.79</v>
      </c>
      <c r="BF51" s="4">
        <v>0.78</v>
      </c>
      <c r="BG51" s="4">
        <v>4.7699999999999996</v>
      </c>
      <c r="BH51" s="4">
        <v>0.95</v>
      </c>
      <c r="BI51" s="4">
        <v>2.59</v>
      </c>
      <c r="BJ51" s="10">
        <v>0.39300000000000002</v>
      </c>
      <c r="BK51" s="10">
        <v>2.56</v>
      </c>
      <c r="BL51" s="10">
        <v>0.378</v>
      </c>
      <c r="BM51" s="9">
        <v>3</v>
      </c>
      <c r="BN51" s="9">
        <v>4.58</v>
      </c>
      <c r="BO51" s="9">
        <v>1.23</v>
      </c>
      <c r="BP51" s="9">
        <v>5.7</v>
      </c>
      <c r="BQ51" s="9">
        <v>0.65</v>
      </c>
      <c r="BR51" s="9">
        <v>150</v>
      </c>
      <c r="BS51" s="9">
        <v>3.9</v>
      </c>
      <c r="BT51" s="9">
        <v>1.9</v>
      </c>
      <c r="BU51" s="9">
        <v>2</v>
      </c>
      <c r="BV51" s="9">
        <v>1.5</v>
      </c>
      <c r="BW51" s="9" t="s">
        <v>130</v>
      </c>
      <c r="BX51" s="9"/>
      <c r="BY51" s="9"/>
      <c r="BZ51" s="9"/>
      <c r="CA51" s="9" t="s">
        <v>131</v>
      </c>
      <c r="CB51" s="9"/>
      <c r="CC51" s="9"/>
      <c r="CD51" s="9"/>
      <c r="CE51" s="9"/>
      <c r="CF51" s="9">
        <v>0.15</v>
      </c>
      <c r="CG51" s="11">
        <f t="shared" si="86"/>
        <v>40.982988641620892</v>
      </c>
      <c r="CH51" s="10">
        <f t="shared" si="87"/>
        <v>0.66652209316698241</v>
      </c>
      <c r="CI51" s="10">
        <f t="shared" si="88"/>
        <v>0.30285714285714288</v>
      </c>
      <c r="CJ51" s="4">
        <f t="shared" si="89"/>
        <v>4.5600000000000005</v>
      </c>
      <c r="CK51" s="4">
        <f t="shared" si="90"/>
        <v>7.3946360153256698</v>
      </c>
      <c r="CL51" s="4">
        <f t="shared" si="100"/>
        <v>5.7471264367816088</v>
      </c>
      <c r="CM51" s="4">
        <f t="shared" si="91"/>
        <v>8.7692307692307701</v>
      </c>
      <c r="CN51" s="4">
        <f t="shared" si="92"/>
        <v>4.6968947784810133</v>
      </c>
      <c r="CO51" s="4">
        <f t="shared" si="93"/>
        <v>6.9140625</v>
      </c>
      <c r="CP51" s="4">
        <f t="shared" si="94"/>
        <v>1.8632812499999998</v>
      </c>
      <c r="CQ51" s="10">
        <f t="shared" si="95"/>
        <v>0.59035385075415725</v>
      </c>
      <c r="CR51" s="4">
        <f t="shared" si="96"/>
        <v>7.333333333333333</v>
      </c>
      <c r="CS51" s="40">
        <f t="shared" ref="CS51:CS58" si="104">(26400*D51/100-4800)/(12.4*D51/100-LN(M51/100)-3.97)-273.15</f>
        <v>811.39872697860858</v>
      </c>
      <c r="CT51" s="4">
        <f t="shared" ref="CT51:CT58" si="105">D51*28.086/(28.086+15.999*2)+F51*26.982*2/(26.982*2+15.999*3)+G51*55.845*2/(55.845*2+15.999*3)+J51*40.078/(40.078+15.999)+I51*32.99*2/(22.99*2+15.999)+L51*39.098*2/(39.098*2+15.999)+O51*51.996*2/(51.996*2+15.999*3)+E51*47.867/(47.867+15.999*2)+H51*54.938/(54.938+15.999)+M51*30.974*2/(30.974*2+15.999*5)+P51*87.62/(87.62+15.999)+N51*137.328/(137.328+15.999)</f>
        <v>51.059255865698091</v>
      </c>
      <c r="CU51" s="4">
        <f t="shared" ref="CU51:CU58" si="106">(K51*22.99*2/(22.99*2+15.999)+L51*39.098*2/(39.098*2+15.999)+2*J51*40.078/(40.078+15.999))/((F51*2*26.982/(26.982*2+15.999*3))*(D51*28.086/(28.086+15.999*2)))*CT51</f>
        <v>2.5078935212317548</v>
      </c>
      <c r="CV51" s="11">
        <f t="shared" si="101"/>
        <v>705.20444600308008</v>
      </c>
      <c r="CW51" s="11">
        <f t="shared" si="102"/>
        <v>618.77020213321907</v>
      </c>
      <c r="CX51" s="10"/>
      <c r="CY51" s="10"/>
      <c r="CZ51" s="10"/>
      <c r="DA51" s="4"/>
      <c r="DB51" s="31"/>
      <c r="DC51" s="31"/>
      <c r="DD51" s="32"/>
      <c r="DE51" s="32"/>
      <c r="DF51" s="11"/>
      <c r="DG51" s="11"/>
      <c r="DH51" s="9"/>
      <c r="DI51" s="9"/>
      <c r="DJ51" s="9"/>
      <c r="DK51" s="9"/>
      <c r="DL51" s="9"/>
      <c r="DM51" s="9"/>
    </row>
    <row r="52" spans="1:117" s="3" customFormat="1" ht="14" customHeight="1">
      <c r="A52" s="3" t="s">
        <v>161</v>
      </c>
      <c r="B52" s="3" t="s">
        <v>92</v>
      </c>
      <c r="C52" s="3" t="s">
        <v>57</v>
      </c>
      <c r="D52" s="4">
        <v>60.64</v>
      </c>
      <c r="E52" s="10">
        <v>0.91100000000000003</v>
      </c>
      <c r="F52" s="4">
        <v>16.350000000000001</v>
      </c>
      <c r="G52" s="315">
        <v>5.3890000000000002</v>
      </c>
      <c r="H52" s="10">
        <v>9.5000000000000001E-2</v>
      </c>
      <c r="I52" s="9">
        <v>1.45</v>
      </c>
      <c r="J52" s="4">
        <v>6.39</v>
      </c>
      <c r="K52" s="10">
        <v>4.9000000000000004</v>
      </c>
      <c r="L52" s="10">
        <v>0.89</v>
      </c>
      <c r="M52" s="10">
        <v>0.22</v>
      </c>
      <c r="N52" s="9"/>
      <c r="O52" s="9"/>
      <c r="P52" s="9"/>
      <c r="Q52" s="4">
        <f t="shared" si="70"/>
        <v>62.367582022009671</v>
      </c>
      <c r="R52" s="10">
        <f t="shared" si="71"/>
        <v>0.91118223644728968</v>
      </c>
      <c r="S52" s="4">
        <f t="shared" si="72"/>
        <v>16.815797593335393</v>
      </c>
      <c r="T52" s="4">
        <f t="shared" si="73"/>
        <v>5.5425280263293226</v>
      </c>
      <c r="U52" s="10">
        <f t="shared" si="74"/>
        <v>9.7706469196749982E-2</v>
      </c>
      <c r="V52" s="10">
        <f t="shared" si="75"/>
        <v>1.4913092666872365</v>
      </c>
      <c r="W52" s="10">
        <f t="shared" si="76"/>
        <v>6.5720456649182362</v>
      </c>
      <c r="X52" s="10">
        <f t="shared" si="77"/>
        <v>5.0395968322534213</v>
      </c>
      <c r="Y52" s="10">
        <f t="shared" si="78"/>
        <v>0.91535534300113142</v>
      </c>
      <c r="Z52" s="10">
        <f t="shared" si="79"/>
        <v>0.22626761287668418</v>
      </c>
      <c r="AA52" s="10">
        <f t="shared" si="80"/>
        <v>0</v>
      </c>
      <c r="AB52" s="10">
        <f t="shared" si="81"/>
        <v>0</v>
      </c>
      <c r="AC52" s="10">
        <f t="shared" si="82"/>
        <v>0</v>
      </c>
      <c r="AD52" s="9"/>
      <c r="AE52" s="9"/>
      <c r="AF52" s="4">
        <v>2.0099999999999998</v>
      </c>
      <c r="AG52" s="4">
        <v>99.24</v>
      </c>
      <c r="AH52" s="11">
        <f t="shared" si="83"/>
        <v>7388.3227176220798</v>
      </c>
      <c r="AI52" s="11">
        <f t="shared" si="84"/>
        <v>5459.9317615535838</v>
      </c>
      <c r="AJ52" s="11">
        <f t="shared" si="103"/>
        <v>960.03945329012254</v>
      </c>
      <c r="AK52" s="9">
        <v>271</v>
      </c>
      <c r="AL52" s="9">
        <v>19</v>
      </c>
      <c r="AM52" s="9">
        <v>16</v>
      </c>
      <c r="AN52" s="9">
        <v>36</v>
      </c>
      <c r="AO52" s="9">
        <v>14</v>
      </c>
      <c r="AP52" s="9">
        <v>13.2</v>
      </c>
      <c r="AQ52" s="9">
        <v>12</v>
      </c>
      <c r="AR52" s="11">
        <v>38.5</v>
      </c>
      <c r="AS52" s="11">
        <v>40.6</v>
      </c>
      <c r="AT52" s="9">
        <v>23</v>
      </c>
      <c r="AU52" s="9">
        <v>26</v>
      </c>
      <c r="AV52" s="9">
        <v>348</v>
      </c>
      <c r="AW52" s="9">
        <v>34.200000000000003</v>
      </c>
      <c r="AX52" s="9">
        <v>0.4</v>
      </c>
      <c r="AY52" s="4">
        <v>17</v>
      </c>
      <c r="AZ52" s="4">
        <v>36.700000000000003</v>
      </c>
      <c r="BA52" s="4">
        <v>5.0599999999999996</v>
      </c>
      <c r="BB52" s="4">
        <v>22.5</v>
      </c>
      <c r="BC52" s="4">
        <v>5.36</v>
      </c>
      <c r="BD52" s="4">
        <v>2.0699999999999998</v>
      </c>
      <c r="BE52" s="4">
        <v>6.16</v>
      </c>
      <c r="BF52" s="4">
        <v>0.99</v>
      </c>
      <c r="BG52" s="4">
        <v>5.74</v>
      </c>
      <c r="BH52" s="4">
        <v>1.1599999999999999</v>
      </c>
      <c r="BI52" s="4">
        <v>3.64</v>
      </c>
      <c r="BJ52" s="10">
        <v>0.55000000000000004</v>
      </c>
      <c r="BK52" s="10">
        <v>3.56</v>
      </c>
      <c r="BL52" s="10">
        <v>0.53500000000000003</v>
      </c>
      <c r="BM52" s="9">
        <v>4</v>
      </c>
      <c r="BN52" s="9">
        <v>3.08</v>
      </c>
      <c r="BO52" s="9">
        <v>0.71</v>
      </c>
      <c r="BP52" s="9">
        <v>10.4</v>
      </c>
      <c r="BQ52" s="9">
        <v>0.67</v>
      </c>
      <c r="BR52" s="9">
        <v>590</v>
      </c>
      <c r="BS52" s="9">
        <v>11.5</v>
      </c>
      <c r="BT52" s="9">
        <v>2.4</v>
      </c>
      <c r="BU52" s="9">
        <v>1</v>
      </c>
      <c r="BV52" s="9" t="s">
        <v>132</v>
      </c>
      <c r="BW52" s="9" t="s">
        <v>130</v>
      </c>
      <c r="BX52" s="9"/>
      <c r="BY52" s="9"/>
      <c r="BZ52" s="9"/>
      <c r="CA52" s="9" t="s">
        <v>131</v>
      </c>
      <c r="CB52" s="9"/>
      <c r="CC52" s="9"/>
      <c r="CD52" s="9"/>
      <c r="CE52" s="9"/>
      <c r="CF52" s="9">
        <v>0.13</v>
      </c>
      <c r="CG52" s="11">
        <f t="shared" si="86"/>
        <v>30.145330544779778</v>
      </c>
      <c r="CH52" s="10">
        <f t="shared" si="87"/>
        <v>0.60287129185954291</v>
      </c>
      <c r="CI52" s="10">
        <f t="shared" si="88"/>
        <v>0.18163265306122447</v>
      </c>
      <c r="CJ52" s="4">
        <f t="shared" si="89"/>
        <v>5.79</v>
      </c>
      <c r="CK52" s="4">
        <f t="shared" si="90"/>
        <v>10.175438596491228</v>
      </c>
      <c r="CL52" s="4">
        <f t="shared" si="100"/>
        <v>17.251461988304094</v>
      </c>
      <c r="CM52" s="4">
        <f t="shared" si="91"/>
        <v>15.522388059701493</v>
      </c>
      <c r="CN52" s="4">
        <f t="shared" si="92"/>
        <v>3.2439671929076002</v>
      </c>
      <c r="CO52" s="4">
        <f t="shared" si="93"/>
        <v>4.7752808988764048</v>
      </c>
      <c r="CP52" s="4">
        <f t="shared" si="94"/>
        <v>1.6123595505617978</v>
      </c>
      <c r="CQ52" s="10">
        <f t="shared" si="95"/>
        <v>1.0981118940690484</v>
      </c>
      <c r="CR52" s="4">
        <f t="shared" si="96"/>
        <v>2.25</v>
      </c>
      <c r="CS52" s="40">
        <f t="shared" si="104"/>
        <v>886.15877835859135</v>
      </c>
      <c r="CT52" s="4">
        <f t="shared" si="105"/>
        <v>48.333491328766264</v>
      </c>
      <c r="CU52" s="4">
        <f t="shared" si="106"/>
        <v>2.6616695576593972</v>
      </c>
      <c r="CV52" s="11">
        <f t="shared" si="101"/>
        <v>806.65262076595161</v>
      </c>
      <c r="CW52" s="11">
        <f t="shared" si="102"/>
        <v>723.52262837818546</v>
      </c>
      <c r="CX52" s="4"/>
      <c r="CY52" s="10"/>
      <c r="CZ52" s="10"/>
      <c r="DA52" s="4"/>
      <c r="DB52" s="31"/>
      <c r="DC52" s="31"/>
      <c r="DD52" s="32"/>
      <c r="DE52" s="32"/>
      <c r="DF52" s="11"/>
      <c r="DG52" s="11"/>
      <c r="DH52" s="9"/>
      <c r="DI52" s="9"/>
      <c r="DJ52" s="9"/>
      <c r="DK52" s="9"/>
      <c r="DL52" s="9"/>
      <c r="DM52" s="9"/>
    </row>
    <row r="53" spans="1:117" s="3" customFormat="1" ht="14" customHeight="1">
      <c r="A53" s="3" t="s">
        <v>162</v>
      </c>
      <c r="B53" s="3" t="s">
        <v>92</v>
      </c>
      <c r="C53" s="3" t="s">
        <v>57</v>
      </c>
      <c r="D53" s="4">
        <v>61.08</v>
      </c>
      <c r="E53" s="10">
        <v>0.68300000000000005</v>
      </c>
      <c r="F53" s="4">
        <v>15.43</v>
      </c>
      <c r="G53" s="315">
        <v>7.3310000000000004</v>
      </c>
      <c r="H53" s="10">
        <v>9.7000000000000003E-2</v>
      </c>
      <c r="I53" s="9">
        <v>2.8</v>
      </c>
      <c r="J53" s="4">
        <v>6.16</v>
      </c>
      <c r="K53" s="10">
        <v>3.49</v>
      </c>
      <c r="L53" s="10">
        <v>1.29</v>
      </c>
      <c r="M53" s="10">
        <v>7.0000000000000007E-2</v>
      </c>
      <c r="N53" s="9"/>
      <c r="O53" s="9"/>
      <c r="P53" s="9"/>
      <c r="Q53" s="4">
        <f t="shared" si="70"/>
        <v>62.047947988622511</v>
      </c>
      <c r="R53" s="10">
        <f t="shared" si="71"/>
        <v>0.68313662732546532</v>
      </c>
      <c r="S53" s="4">
        <f t="shared" si="72"/>
        <v>15.674522551808208</v>
      </c>
      <c r="T53" s="4">
        <f t="shared" si="73"/>
        <v>7.4471759447379116</v>
      </c>
      <c r="U53" s="10">
        <f t="shared" si="74"/>
        <v>9.8537180008126793E-2</v>
      </c>
      <c r="V53" s="10">
        <f t="shared" si="75"/>
        <v>2.8443722064201546</v>
      </c>
      <c r="W53" s="10">
        <f t="shared" si="76"/>
        <v>6.25761885412434</v>
      </c>
      <c r="X53" s="10">
        <f t="shared" si="77"/>
        <v>3.545306785859407</v>
      </c>
      <c r="Y53" s="10">
        <f t="shared" si="78"/>
        <v>1.3104429093864283</v>
      </c>
      <c r="Z53" s="10">
        <f t="shared" si="79"/>
        <v>7.1109305160503872E-2</v>
      </c>
      <c r="AA53" s="10">
        <f t="shared" si="80"/>
        <v>0</v>
      </c>
      <c r="AB53" s="10">
        <f t="shared" si="81"/>
        <v>0</v>
      </c>
      <c r="AC53" s="10">
        <f t="shared" si="82"/>
        <v>0</v>
      </c>
      <c r="AD53" s="9"/>
      <c r="AE53" s="9"/>
      <c r="AF53" s="4">
        <v>1.53</v>
      </c>
      <c r="AG53" s="4">
        <v>99.97</v>
      </c>
      <c r="AH53" s="11">
        <f t="shared" si="83"/>
        <v>10708.917197452229</v>
      </c>
      <c r="AI53" s="11">
        <f t="shared" si="84"/>
        <v>4093.4504864336968</v>
      </c>
      <c r="AJ53" s="11">
        <f t="shared" si="103"/>
        <v>305.46709877412991</v>
      </c>
      <c r="AK53" s="9">
        <v>231</v>
      </c>
      <c r="AL53" s="9">
        <v>23</v>
      </c>
      <c r="AM53" s="9">
        <v>16</v>
      </c>
      <c r="AN53" s="9">
        <v>111</v>
      </c>
      <c r="AO53" s="9">
        <v>61</v>
      </c>
      <c r="AP53" s="9">
        <v>29.4</v>
      </c>
      <c r="AQ53" s="9">
        <v>65</v>
      </c>
      <c r="AR53" s="11">
        <v>56.1</v>
      </c>
      <c r="AS53" s="11">
        <v>69.400000000000006</v>
      </c>
      <c r="AT53" s="9">
        <v>19</v>
      </c>
      <c r="AU53" s="9">
        <v>49</v>
      </c>
      <c r="AV53" s="9">
        <v>253</v>
      </c>
      <c r="AW53" s="9">
        <v>25.9</v>
      </c>
      <c r="AX53" s="9">
        <v>0.7</v>
      </c>
      <c r="AY53" s="4">
        <v>18.3</v>
      </c>
      <c r="AZ53" s="4">
        <v>36.700000000000003</v>
      </c>
      <c r="BA53" s="4">
        <v>4.8</v>
      </c>
      <c r="BB53" s="4">
        <v>19.7</v>
      </c>
      <c r="BC53" s="4">
        <v>5.1100000000000003</v>
      </c>
      <c r="BD53" s="4">
        <v>1.78</v>
      </c>
      <c r="BE53" s="4">
        <v>5.15</v>
      </c>
      <c r="BF53" s="4">
        <v>0.83</v>
      </c>
      <c r="BG53" s="4">
        <v>4.55</v>
      </c>
      <c r="BH53" s="4">
        <v>0.9</v>
      </c>
      <c r="BI53" s="4">
        <v>2.83</v>
      </c>
      <c r="BJ53" s="10">
        <v>0.44700000000000001</v>
      </c>
      <c r="BK53" s="10">
        <v>2.81</v>
      </c>
      <c r="BL53" s="10">
        <v>0.39600000000000002</v>
      </c>
      <c r="BM53" s="9">
        <v>3</v>
      </c>
      <c r="BN53" s="9">
        <v>3.83</v>
      </c>
      <c r="BO53" s="9">
        <v>0.9</v>
      </c>
      <c r="BP53" s="9">
        <v>4.9000000000000004</v>
      </c>
      <c r="BQ53" s="9">
        <v>0.53</v>
      </c>
      <c r="BR53" s="9">
        <v>162</v>
      </c>
      <c r="BS53" s="9">
        <v>3.5</v>
      </c>
      <c r="BT53" s="9">
        <v>1.4</v>
      </c>
      <c r="BU53" s="9">
        <v>2</v>
      </c>
      <c r="BV53" s="9" t="s">
        <v>132</v>
      </c>
      <c r="BW53" s="9" t="s">
        <v>130</v>
      </c>
      <c r="BX53" s="9"/>
      <c r="BY53" s="9"/>
      <c r="BZ53" s="9"/>
      <c r="CA53" s="9" t="s">
        <v>131</v>
      </c>
      <c r="CB53" s="9"/>
      <c r="CC53" s="9"/>
      <c r="CD53" s="9"/>
      <c r="CE53" s="9"/>
      <c r="CF53" s="9" t="s">
        <v>135</v>
      </c>
      <c r="CG53" s="11">
        <f t="shared" si="86"/>
        <v>37.987398485028748</v>
      </c>
      <c r="CH53" s="10">
        <f t="shared" si="87"/>
        <v>0.64045762653726124</v>
      </c>
      <c r="CI53" s="10">
        <f t="shared" si="88"/>
        <v>0.36962750716332377</v>
      </c>
      <c r="CJ53" s="4">
        <f t="shared" si="89"/>
        <v>4.78</v>
      </c>
      <c r="CK53" s="4">
        <f t="shared" si="90"/>
        <v>9.7683397683397697</v>
      </c>
      <c r="CL53" s="4">
        <f t="shared" si="100"/>
        <v>6.2548262548262548</v>
      </c>
      <c r="CM53" s="4">
        <f t="shared" si="91"/>
        <v>9.2452830188679247</v>
      </c>
      <c r="CN53" s="4">
        <f t="shared" si="92"/>
        <v>4.4240731564484888</v>
      </c>
      <c r="CO53" s="4">
        <f t="shared" si="93"/>
        <v>6.512455516014235</v>
      </c>
      <c r="CP53" s="4">
        <f t="shared" si="94"/>
        <v>1.6192170818505338</v>
      </c>
      <c r="CQ53" s="10">
        <f t="shared" si="95"/>
        <v>1.0576815746088604</v>
      </c>
      <c r="CR53" s="4">
        <f t="shared" si="96"/>
        <v>6.9375</v>
      </c>
      <c r="CS53" s="40">
        <f t="shared" si="104"/>
        <v>768.87751730578441</v>
      </c>
      <c r="CT53" s="4">
        <f t="shared" si="105"/>
        <v>50.814802801572021</v>
      </c>
      <c r="CU53" s="4">
        <f t="shared" si="106"/>
        <v>2.7165538092537984</v>
      </c>
      <c r="CV53" s="11">
        <f t="shared" si="101"/>
        <v>697.81106779567722</v>
      </c>
      <c r="CW53" s="11">
        <f t="shared" si="102"/>
        <v>605.96420507454366</v>
      </c>
      <c r="CX53" s="10"/>
      <c r="CY53" s="10"/>
      <c r="CZ53" s="10"/>
      <c r="DA53" s="4"/>
      <c r="DB53" s="31"/>
      <c r="DC53" s="31"/>
      <c r="DD53" s="32"/>
      <c r="DE53" s="32"/>
      <c r="DF53" s="11"/>
      <c r="DG53" s="11"/>
      <c r="DH53" s="9"/>
      <c r="DI53" s="9"/>
      <c r="DJ53" s="9"/>
      <c r="DK53" s="9"/>
      <c r="DL53" s="9"/>
      <c r="DM53" s="9"/>
    </row>
    <row r="54" spans="1:117" s="3" customFormat="1" ht="14" customHeight="1">
      <c r="A54" s="3" t="s">
        <v>163</v>
      </c>
      <c r="B54" s="3" t="s">
        <v>92</v>
      </c>
      <c r="C54" s="3" t="s">
        <v>57</v>
      </c>
      <c r="D54" s="4">
        <v>56.25</v>
      </c>
      <c r="E54" s="10">
        <v>1.0569999999999999</v>
      </c>
      <c r="F54" s="4">
        <v>15.51</v>
      </c>
      <c r="G54" s="315">
        <v>8.9809999999999999</v>
      </c>
      <c r="H54" s="10">
        <v>0.124</v>
      </c>
      <c r="I54" s="9">
        <v>4.45</v>
      </c>
      <c r="J54" s="4">
        <v>6.86</v>
      </c>
      <c r="K54" s="10">
        <v>3.51</v>
      </c>
      <c r="L54" s="10">
        <v>0.53</v>
      </c>
      <c r="M54" s="10">
        <v>0.11</v>
      </c>
      <c r="N54" s="9"/>
      <c r="O54" s="9"/>
      <c r="P54" s="9"/>
      <c r="Q54" s="4">
        <f t="shared" si="70"/>
        <v>57.751540041067756</v>
      </c>
      <c r="R54" s="10">
        <f t="shared" si="71"/>
        <v>1.0572114422884578</v>
      </c>
      <c r="S54" s="4">
        <f t="shared" si="72"/>
        <v>15.924024640657084</v>
      </c>
      <c r="T54" s="4">
        <f t="shared" si="73"/>
        <v>9.2207392197125255</v>
      </c>
      <c r="U54" s="10">
        <f t="shared" si="74"/>
        <v>0.12731006160164271</v>
      </c>
      <c r="V54" s="10">
        <f t="shared" si="75"/>
        <v>4.5687885010266935</v>
      </c>
      <c r="W54" s="10">
        <f t="shared" si="76"/>
        <v>7.0431211498973303</v>
      </c>
      <c r="X54" s="10">
        <f t="shared" si="77"/>
        <v>3.6036960985626281</v>
      </c>
      <c r="Y54" s="10">
        <f t="shared" si="78"/>
        <v>0.54414784394250515</v>
      </c>
      <c r="Z54" s="10">
        <f t="shared" si="79"/>
        <v>0.11293634496919917</v>
      </c>
      <c r="AA54" s="10">
        <f t="shared" si="80"/>
        <v>0</v>
      </c>
      <c r="AB54" s="10">
        <f t="shared" si="81"/>
        <v>0</v>
      </c>
      <c r="AC54" s="10">
        <f t="shared" si="82"/>
        <v>0</v>
      </c>
      <c r="AD54" s="9"/>
      <c r="AE54" s="9"/>
      <c r="AF54" s="4">
        <v>1.97</v>
      </c>
      <c r="AG54" s="4">
        <v>99.37</v>
      </c>
      <c r="AH54" s="11">
        <f t="shared" si="83"/>
        <v>4399.787685774947</v>
      </c>
      <c r="AI54" s="11">
        <f t="shared" si="84"/>
        <v>6334.9592447443874</v>
      </c>
      <c r="AJ54" s="11">
        <f t="shared" si="103"/>
        <v>480.01972664506127</v>
      </c>
      <c r="AK54" s="9">
        <v>129</v>
      </c>
      <c r="AL54" s="9">
        <v>21</v>
      </c>
      <c r="AM54" s="9">
        <v>19</v>
      </c>
      <c r="AN54" s="9">
        <v>149</v>
      </c>
      <c r="AO54" s="9">
        <v>138</v>
      </c>
      <c r="AP54" s="9">
        <v>42.3</v>
      </c>
      <c r="AQ54" s="9">
        <v>119</v>
      </c>
      <c r="AR54" s="11">
        <v>28.3</v>
      </c>
      <c r="AS54" s="11">
        <v>101</v>
      </c>
      <c r="AT54" s="9">
        <v>19</v>
      </c>
      <c r="AU54" s="9">
        <v>15</v>
      </c>
      <c r="AV54" s="9">
        <v>298</v>
      </c>
      <c r="AW54" s="9">
        <v>21.1</v>
      </c>
      <c r="AX54" s="9">
        <v>0.1</v>
      </c>
      <c r="AY54" s="4">
        <v>10.7</v>
      </c>
      <c r="AZ54" s="4">
        <v>22.4</v>
      </c>
      <c r="BA54" s="4">
        <v>3.03</v>
      </c>
      <c r="BB54" s="4">
        <v>13.3</v>
      </c>
      <c r="BC54" s="4">
        <v>3.58</v>
      </c>
      <c r="BD54" s="4">
        <v>1.1200000000000001</v>
      </c>
      <c r="BE54" s="4">
        <v>4.25</v>
      </c>
      <c r="BF54" s="4">
        <v>0.67</v>
      </c>
      <c r="BG54" s="4">
        <v>3.65</v>
      </c>
      <c r="BH54" s="4">
        <v>0.7</v>
      </c>
      <c r="BI54" s="4">
        <v>2.08</v>
      </c>
      <c r="BJ54" s="10">
        <v>0.31900000000000001</v>
      </c>
      <c r="BK54" s="10">
        <v>1.99</v>
      </c>
      <c r="BL54" s="10">
        <v>0.31</v>
      </c>
      <c r="BM54" s="9">
        <v>2</v>
      </c>
      <c r="BN54" s="9">
        <v>2.4500000000000002</v>
      </c>
      <c r="BO54" s="9">
        <v>0.66</v>
      </c>
      <c r="BP54" s="9">
        <v>5.3</v>
      </c>
      <c r="BQ54" s="9">
        <v>0.49</v>
      </c>
      <c r="BR54" s="9">
        <v>94</v>
      </c>
      <c r="BS54" s="9">
        <v>2.6</v>
      </c>
      <c r="BT54" s="9">
        <v>2.5</v>
      </c>
      <c r="BU54" s="9">
        <v>3</v>
      </c>
      <c r="BV54" s="9" t="s">
        <v>132</v>
      </c>
      <c r="BW54" s="9" t="s">
        <v>130</v>
      </c>
      <c r="BX54" s="9"/>
      <c r="BY54" s="9"/>
      <c r="BZ54" s="9"/>
      <c r="CA54" s="9" t="s">
        <v>131</v>
      </c>
      <c r="CB54" s="9"/>
      <c r="CC54" s="9"/>
      <c r="CD54" s="9"/>
      <c r="CE54" s="9"/>
      <c r="CF54" s="9">
        <v>0.08</v>
      </c>
      <c r="CG54" s="11">
        <f t="shared" si="86"/>
        <v>44.28020451061235</v>
      </c>
      <c r="CH54" s="10">
        <f t="shared" si="87"/>
        <v>0.62725705074073557</v>
      </c>
      <c r="CI54" s="10">
        <f t="shared" si="88"/>
        <v>0.15099715099715103</v>
      </c>
      <c r="CJ54" s="4">
        <f t="shared" si="89"/>
        <v>4.04</v>
      </c>
      <c r="CK54" s="4">
        <f t="shared" si="90"/>
        <v>14.123222748815165</v>
      </c>
      <c r="CL54" s="4">
        <f t="shared" si="100"/>
        <v>4.4549763033175349</v>
      </c>
      <c r="CM54" s="4">
        <f t="shared" si="91"/>
        <v>10.816326530612244</v>
      </c>
      <c r="CN54" s="4">
        <f t="shared" si="92"/>
        <v>3.6526514428683501</v>
      </c>
      <c r="CO54" s="4">
        <f t="shared" si="93"/>
        <v>5.3768844221105523</v>
      </c>
      <c r="CP54" s="4">
        <f t="shared" si="94"/>
        <v>1.8341708542713568</v>
      </c>
      <c r="CQ54" s="10">
        <f t="shared" si="95"/>
        <v>0.87524783540313378</v>
      </c>
      <c r="CR54" s="4">
        <f t="shared" si="96"/>
        <v>7.8421052631578947</v>
      </c>
      <c r="CS54" s="40">
        <f t="shared" si="104"/>
        <v>750.53792475770138</v>
      </c>
      <c r="CT54" s="4">
        <f t="shared" si="105"/>
        <v>51.641853668225117</v>
      </c>
      <c r="CU54" s="4">
        <f t="shared" si="106"/>
        <v>3.0743571646386374</v>
      </c>
      <c r="CV54" s="11">
        <f t="shared" si="101"/>
        <v>639.52729908282777</v>
      </c>
      <c r="CW54" s="11">
        <f t="shared" si="102"/>
        <v>538.26238616779699</v>
      </c>
      <c r="CX54" s="10"/>
      <c r="CY54" s="10"/>
      <c r="CZ54" s="10"/>
      <c r="DA54" s="4"/>
      <c r="DB54" s="31"/>
      <c r="DC54" s="31"/>
      <c r="DD54" s="32"/>
      <c r="DE54" s="32"/>
      <c r="DF54" s="11"/>
      <c r="DG54" s="11"/>
      <c r="DH54" s="9"/>
      <c r="DI54" s="9"/>
      <c r="DJ54" s="9"/>
      <c r="DK54" s="9"/>
      <c r="DL54" s="9"/>
      <c r="DM54" s="9"/>
    </row>
    <row r="55" spans="1:117" s="3" customFormat="1" ht="14" customHeight="1">
      <c r="A55" s="3" t="s">
        <v>164</v>
      </c>
      <c r="B55" s="3" t="s">
        <v>92</v>
      </c>
      <c r="C55" s="3" t="s">
        <v>57</v>
      </c>
      <c r="D55" s="4">
        <v>57.34</v>
      </c>
      <c r="E55" s="10">
        <v>1.5169999999999999</v>
      </c>
      <c r="F55" s="4">
        <v>14.57</v>
      </c>
      <c r="G55" s="315">
        <v>9.8500000000000014</v>
      </c>
      <c r="H55" s="10">
        <v>0.14000000000000001</v>
      </c>
      <c r="I55" s="9">
        <v>4.3899999999999997</v>
      </c>
      <c r="J55" s="4">
        <v>7.15</v>
      </c>
      <c r="K55" s="10">
        <v>3.31</v>
      </c>
      <c r="L55" s="10">
        <v>0.31</v>
      </c>
      <c r="M55" s="10">
        <v>0.17</v>
      </c>
      <c r="N55" s="9"/>
      <c r="O55" s="9"/>
      <c r="P55" s="9"/>
      <c r="Q55" s="4">
        <f t="shared" si="70"/>
        <v>58.083468395461914</v>
      </c>
      <c r="R55" s="10">
        <f t="shared" si="71"/>
        <v>1.5173034606921385</v>
      </c>
      <c r="S55" s="4">
        <f t="shared" si="72"/>
        <v>14.758914100486225</v>
      </c>
      <c r="T55" s="4">
        <f t="shared" si="73"/>
        <v>9.9777147487844413</v>
      </c>
      <c r="U55" s="10">
        <f t="shared" si="74"/>
        <v>0.14181523500810375</v>
      </c>
      <c r="V55" s="10">
        <f t="shared" si="75"/>
        <v>4.4469205834683949</v>
      </c>
      <c r="W55" s="10">
        <f t="shared" si="76"/>
        <v>7.2427066450567263</v>
      </c>
      <c r="X55" s="10">
        <f t="shared" si="77"/>
        <v>3.3529173419773097</v>
      </c>
      <c r="Y55" s="10">
        <f t="shared" si="78"/>
        <v>0.3140194489465154</v>
      </c>
      <c r="Z55" s="10">
        <f t="shared" si="79"/>
        <v>0.17220421393841168</v>
      </c>
      <c r="AA55" s="10">
        <f t="shared" si="80"/>
        <v>0</v>
      </c>
      <c r="AB55" s="10">
        <f t="shared" si="81"/>
        <v>0</v>
      </c>
      <c r="AC55" s="10">
        <f t="shared" si="82"/>
        <v>0</v>
      </c>
      <c r="AD55" s="9"/>
      <c r="AE55" s="9"/>
      <c r="AF55" s="4">
        <v>1.48</v>
      </c>
      <c r="AG55" s="4">
        <v>100.2</v>
      </c>
      <c r="AH55" s="11">
        <f t="shared" si="83"/>
        <v>2573.4607218683655</v>
      </c>
      <c r="AI55" s="11">
        <f t="shared" si="84"/>
        <v>9091.8951506880203</v>
      </c>
      <c r="AJ55" s="11">
        <f t="shared" si="103"/>
        <v>741.84866845145825</v>
      </c>
      <c r="AK55" s="9">
        <v>120</v>
      </c>
      <c r="AL55" s="9">
        <v>13</v>
      </c>
      <c r="AM55" s="9">
        <v>20</v>
      </c>
      <c r="AN55" s="9">
        <v>158</v>
      </c>
      <c r="AO55" s="9">
        <v>88</v>
      </c>
      <c r="AP55" s="9">
        <v>26.1</v>
      </c>
      <c r="AQ55" s="9">
        <v>83</v>
      </c>
      <c r="AR55" s="11">
        <v>34.9</v>
      </c>
      <c r="AS55" s="11">
        <v>56.9</v>
      </c>
      <c r="AT55" s="9">
        <v>19</v>
      </c>
      <c r="AU55" s="9">
        <v>6</v>
      </c>
      <c r="AV55" s="9">
        <v>337</v>
      </c>
      <c r="AW55" s="9">
        <v>24.2</v>
      </c>
      <c r="AX55" s="9" t="s">
        <v>133</v>
      </c>
      <c r="AY55" s="4">
        <v>16.3</v>
      </c>
      <c r="AZ55" s="4">
        <v>40.299999999999997</v>
      </c>
      <c r="BA55" s="4">
        <v>5.86</v>
      </c>
      <c r="BB55" s="4">
        <v>25</v>
      </c>
      <c r="BC55" s="4">
        <v>5.7</v>
      </c>
      <c r="BD55" s="4">
        <v>1.32</v>
      </c>
      <c r="BE55" s="4">
        <v>5.03</v>
      </c>
      <c r="BF55" s="4">
        <v>0.79</v>
      </c>
      <c r="BG55" s="4">
        <v>4.6900000000000004</v>
      </c>
      <c r="BH55" s="4">
        <v>0.89</v>
      </c>
      <c r="BI55" s="4">
        <v>2.46</v>
      </c>
      <c r="BJ55" s="10">
        <v>0.375</v>
      </c>
      <c r="BK55" s="10">
        <v>2.41</v>
      </c>
      <c r="BL55" s="10">
        <v>0.33900000000000002</v>
      </c>
      <c r="BM55" s="9" t="s">
        <v>137</v>
      </c>
      <c r="BN55" s="9">
        <v>3.04</v>
      </c>
      <c r="BO55" s="9">
        <v>0.68</v>
      </c>
      <c r="BP55" s="9">
        <v>6</v>
      </c>
      <c r="BQ55" s="9">
        <v>0.59</v>
      </c>
      <c r="BR55" s="9">
        <v>150</v>
      </c>
      <c r="BS55" s="9">
        <v>3.6</v>
      </c>
      <c r="BT55" s="9">
        <v>1.5</v>
      </c>
      <c r="BU55" s="9">
        <v>2</v>
      </c>
      <c r="BV55" s="9" t="s">
        <v>132</v>
      </c>
      <c r="BW55" s="9" t="s">
        <v>130</v>
      </c>
      <c r="BX55" s="9"/>
      <c r="BY55" s="9"/>
      <c r="BZ55" s="9"/>
      <c r="CA55" s="9" t="s">
        <v>131</v>
      </c>
      <c r="CB55" s="9"/>
      <c r="CC55" s="9"/>
      <c r="CD55" s="9"/>
      <c r="CE55" s="9"/>
      <c r="CF55" s="9" t="s">
        <v>135</v>
      </c>
      <c r="CG55" s="11">
        <f t="shared" si="86"/>
        <v>41.684639176196328</v>
      </c>
      <c r="CH55" s="10">
        <f t="shared" si="87"/>
        <v>0.59049269066565224</v>
      </c>
      <c r="CI55" s="10">
        <f t="shared" si="88"/>
        <v>9.3655589123867067E-2</v>
      </c>
      <c r="CJ55" s="4">
        <f t="shared" si="89"/>
        <v>3.62</v>
      </c>
      <c r="CK55" s="4">
        <f t="shared" si="90"/>
        <v>13.925619834710744</v>
      </c>
      <c r="CL55" s="4">
        <f t="shared" si="100"/>
        <v>6.1983471074380168</v>
      </c>
      <c r="CM55" s="4">
        <f t="shared" si="91"/>
        <v>10.16949152542373</v>
      </c>
      <c r="CN55" s="4">
        <f t="shared" si="92"/>
        <v>4.5946040583363974</v>
      </c>
      <c r="CO55" s="4">
        <f t="shared" si="93"/>
        <v>6.7634854771784232</v>
      </c>
      <c r="CP55" s="4">
        <f t="shared" si="94"/>
        <v>1.946058091286307</v>
      </c>
      <c r="CQ55" s="10">
        <f t="shared" si="95"/>
        <v>0.75145246237259966</v>
      </c>
      <c r="CR55" s="4">
        <f t="shared" si="96"/>
        <v>7.9</v>
      </c>
      <c r="CS55" s="40">
        <f t="shared" si="104"/>
        <v>813.05870313914977</v>
      </c>
      <c r="CT55" s="4">
        <f t="shared" si="105"/>
        <v>52.536702272590759</v>
      </c>
      <c r="CU55" s="4">
        <f t="shared" si="106"/>
        <v>3.2873505910060925</v>
      </c>
      <c r="CV55" s="11">
        <f t="shared" si="101"/>
        <v>658.3962338773656</v>
      </c>
      <c r="CW55" s="11">
        <f t="shared" si="102"/>
        <v>552.8679238641862</v>
      </c>
      <c r="CX55" s="10"/>
      <c r="CY55" s="10"/>
      <c r="CZ55" s="10"/>
      <c r="DA55" s="4"/>
      <c r="DB55" s="31"/>
      <c r="DC55" s="31"/>
      <c r="DD55" s="32"/>
      <c r="DE55" s="32"/>
      <c r="DF55" s="11"/>
      <c r="DG55" s="11"/>
      <c r="DH55" s="9"/>
      <c r="DI55" s="9"/>
      <c r="DJ55" s="9"/>
      <c r="DK55" s="9"/>
      <c r="DL55" s="9"/>
      <c r="DM55" s="9"/>
    </row>
    <row r="56" spans="1:117" s="3" customFormat="1" ht="14" customHeight="1">
      <c r="A56" s="3" t="s">
        <v>165</v>
      </c>
      <c r="B56" s="3" t="s">
        <v>92</v>
      </c>
      <c r="C56" s="3" t="s">
        <v>166</v>
      </c>
      <c r="D56" s="4">
        <v>53.31</v>
      </c>
      <c r="E56" s="10">
        <v>1.61</v>
      </c>
      <c r="F56" s="4">
        <v>14.23</v>
      </c>
      <c r="G56" s="315">
        <v>11.006</v>
      </c>
      <c r="H56" s="10">
        <v>0.183</v>
      </c>
      <c r="I56" s="9">
        <v>4.13</v>
      </c>
      <c r="J56" s="4">
        <v>8.18</v>
      </c>
      <c r="K56" s="10">
        <v>4.3</v>
      </c>
      <c r="L56" s="10">
        <v>0.49</v>
      </c>
      <c r="M56" s="10">
        <v>0.41</v>
      </c>
      <c r="N56" s="9"/>
      <c r="O56" s="9"/>
      <c r="P56" s="9"/>
      <c r="Q56" s="4">
        <f t="shared" si="70"/>
        <v>54.470215592111991</v>
      </c>
      <c r="R56" s="10">
        <f t="shared" si="71"/>
        <v>1.6103220644128828</v>
      </c>
      <c r="S56" s="4">
        <f t="shared" si="72"/>
        <v>14.539695514457955</v>
      </c>
      <c r="T56" s="4">
        <f t="shared" si="73"/>
        <v>11.245529784407887</v>
      </c>
      <c r="U56" s="10">
        <f t="shared" si="74"/>
        <v>0.18698273219576991</v>
      </c>
      <c r="V56" s="10">
        <f t="shared" si="75"/>
        <v>4.2198835189537149</v>
      </c>
      <c r="W56" s="10">
        <f t="shared" si="76"/>
        <v>8.3580259527945238</v>
      </c>
      <c r="X56" s="10">
        <f t="shared" si="77"/>
        <v>4.3935833248186373</v>
      </c>
      <c r="Y56" s="10">
        <f t="shared" si="78"/>
        <v>0.50066414631654244</v>
      </c>
      <c r="Z56" s="10">
        <f t="shared" si="79"/>
        <v>0.41892306120363754</v>
      </c>
      <c r="AA56" s="10">
        <f t="shared" si="80"/>
        <v>0</v>
      </c>
      <c r="AB56" s="10">
        <f t="shared" si="81"/>
        <v>0</v>
      </c>
      <c r="AC56" s="10">
        <f t="shared" si="82"/>
        <v>0</v>
      </c>
      <c r="AD56" s="9"/>
      <c r="AE56" s="9"/>
      <c r="AF56" s="4">
        <v>2.04</v>
      </c>
      <c r="AG56" s="4">
        <v>99.91</v>
      </c>
      <c r="AH56" s="11">
        <f t="shared" si="83"/>
        <v>4067.7282377919314</v>
      </c>
      <c r="AI56" s="11">
        <f t="shared" si="84"/>
        <v>9649.2756708027118</v>
      </c>
      <c r="AJ56" s="11">
        <f t="shared" si="103"/>
        <v>1789.1644356770466</v>
      </c>
      <c r="AK56" s="9">
        <v>102</v>
      </c>
      <c r="AL56" s="9">
        <v>14</v>
      </c>
      <c r="AM56" s="9">
        <v>27</v>
      </c>
      <c r="AN56" s="9">
        <v>161</v>
      </c>
      <c r="AO56" s="9">
        <v>67</v>
      </c>
      <c r="AP56" s="9">
        <v>22.1</v>
      </c>
      <c r="AQ56" s="9">
        <v>39</v>
      </c>
      <c r="AR56" s="11">
        <v>41.5</v>
      </c>
      <c r="AS56" s="11">
        <v>69.8</v>
      </c>
      <c r="AT56" s="9">
        <v>22</v>
      </c>
      <c r="AU56" s="9">
        <v>11</v>
      </c>
      <c r="AV56" s="9">
        <v>449</v>
      </c>
      <c r="AW56" s="9">
        <v>36.799999999999997</v>
      </c>
      <c r="AX56" s="9">
        <v>0.2</v>
      </c>
      <c r="AY56" s="4">
        <v>16.5</v>
      </c>
      <c r="AZ56" s="4">
        <v>47</v>
      </c>
      <c r="BA56" s="4">
        <v>6.54</v>
      </c>
      <c r="BB56" s="4">
        <v>29</v>
      </c>
      <c r="BC56" s="4">
        <v>6.79</v>
      </c>
      <c r="BD56" s="4">
        <v>1.7</v>
      </c>
      <c r="BE56" s="4">
        <v>6.79</v>
      </c>
      <c r="BF56" s="4">
        <v>1.1200000000000001</v>
      </c>
      <c r="BG56" s="4">
        <v>6.75</v>
      </c>
      <c r="BH56" s="4">
        <v>1.36</v>
      </c>
      <c r="BI56" s="4">
        <v>3.91</v>
      </c>
      <c r="BJ56" s="10">
        <v>0.57699999999999996</v>
      </c>
      <c r="BK56" s="10">
        <v>3.82</v>
      </c>
      <c r="BL56" s="10">
        <v>0.57399999999999995</v>
      </c>
      <c r="BM56" s="9">
        <v>2</v>
      </c>
      <c r="BN56" s="9">
        <v>2.2599999999999998</v>
      </c>
      <c r="BO56" s="9">
        <v>0.57999999999999996</v>
      </c>
      <c r="BP56" s="9">
        <v>5.3</v>
      </c>
      <c r="BQ56" s="9">
        <v>0.38</v>
      </c>
      <c r="BR56" s="9"/>
      <c r="BS56" s="9">
        <v>3.5</v>
      </c>
      <c r="BT56" s="9">
        <v>2</v>
      </c>
      <c r="BU56" s="9">
        <v>3</v>
      </c>
      <c r="BV56" s="9" t="s">
        <v>132</v>
      </c>
      <c r="BW56" s="9" t="s">
        <v>130</v>
      </c>
      <c r="BX56" s="9">
        <v>1.4</v>
      </c>
      <c r="BY56" s="9">
        <v>7.0000000000000007E-2</v>
      </c>
      <c r="BZ56" s="9">
        <v>9</v>
      </c>
      <c r="CA56" s="9" t="s">
        <v>131</v>
      </c>
      <c r="CB56" s="9"/>
      <c r="CC56" s="9">
        <v>0.04</v>
      </c>
      <c r="CD56" s="9">
        <v>0.3</v>
      </c>
      <c r="CE56" s="9" t="s">
        <v>134</v>
      </c>
      <c r="CF56" s="9" t="s">
        <v>135</v>
      </c>
      <c r="CG56" s="11">
        <f t="shared" si="86"/>
        <v>37.5720238125216</v>
      </c>
      <c r="CH56" s="10">
        <f t="shared" si="87"/>
        <v>0.48187620145812787</v>
      </c>
      <c r="CI56" s="10">
        <f t="shared" si="88"/>
        <v>0.11395348837209303</v>
      </c>
      <c r="CJ56" s="4">
        <f t="shared" si="89"/>
        <v>4.79</v>
      </c>
      <c r="CK56" s="4">
        <f t="shared" si="90"/>
        <v>12.20108695652174</v>
      </c>
      <c r="CL56" s="4"/>
      <c r="CM56" s="4">
        <f t="shared" si="91"/>
        <v>13.94736842105263</v>
      </c>
      <c r="CN56" s="4">
        <f t="shared" si="92"/>
        <v>2.9342567433229512</v>
      </c>
      <c r="CO56" s="4">
        <f t="shared" si="93"/>
        <v>4.3193717277486909</v>
      </c>
      <c r="CP56" s="4">
        <f t="shared" si="94"/>
        <v>1.7670157068062828</v>
      </c>
      <c r="CQ56" s="10">
        <f t="shared" si="95"/>
        <v>0.76318205160795116</v>
      </c>
      <c r="CR56" s="4">
        <f t="shared" si="96"/>
        <v>5.9629629629629628</v>
      </c>
      <c r="CS56" s="40">
        <f t="shared" si="104"/>
        <v>866.53324910543745</v>
      </c>
      <c r="CT56" s="4">
        <f t="shared" si="105"/>
        <v>52.084053661933496</v>
      </c>
      <c r="CU56" s="4">
        <f t="shared" si="106"/>
        <v>4.2430216813200561</v>
      </c>
      <c r="CV56" s="11"/>
      <c r="CW56" s="11"/>
      <c r="CX56" s="4"/>
      <c r="CY56" s="10"/>
      <c r="CZ56" s="10"/>
      <c r="DA56" s="4"/>
      <c r="DB56" s="31"/>
      <c r="DC56" s="31"/>
      <c r="DD56" s="32"/>
      <c r="DE56" s="32"/>
      <c r="DF56" s="11"/>
      <c r="DG56" s="11"/>
      <c r="DH56" s="9"/>
      <c r="DI56" s="9"/>
      <c r="DJ56" s="9"/>
      <c r="DK56" s="9"/>
      <c r="DL56" s="9"/>
      <c r="DM56" s="9"/>
    </row>
    <row r="57" spans="1:117" s="3" customFormat="1" ht="14" customHeight="1">
      <c r="A57" s="3" t="s">
        <v>168</v>
      </c>
      <c r="B57" s="3" t="s">
        <v>92</v>
      </c>
      <c r="C57" s="3" t="s">
        <v>166</v>
      </c>
      <c r="D57" s="4">
        <v>53.67</v>
      </c>
      <c r="E57" s="10">
        <v>1.571</v>
      </c>
      <c r="F57" s="4">
        <v>14.84</v>
      </c>
      <c r="G57" s="315">
        <v>9.0109999999999992</v>
      </c>
      <c r="H57" s="10">
        <v>0.13600000000000001</v>
      </c>
      <c r="I57" s="9">
        <v>5.21</v>
      </c>
      <c r="J57" s="4">
        <v>8.5299999999999994</v>
      </c>
      <c r="K57" s="10">
        <v>4.1500000000000004</v>
      </c>
      <c r="L57" s="10">
        <v>0.56000000000000005</v>
      </c>
      <c r="M57" s="10">
        <v>0.24</v>
      </c>
      <c r="N57" s="9"/>
      <c r="O57" s="9"/>
      <c r="P57" s="9"/>
      <c r="Q57" s="4">
        <f t="shared" si="70"/>
        <v>54.80445215970591</v>
      </c>
      <c r="R57" s="10">
        <f t="shared" si="71"/>
        <v>1.5713142628525707</v>
      </c>
      <c r="S57" s="4">
        <f t="shared" si="72"/>
        <v>15.153681200857754</v>
      </c>
      <c r="T57" s="4">
        <f t="shared" si="73"/>
        <v>9.2014704380680055</v>
      </c>
      <c r="U57" s="10">
        <f t="shared" si="74"/>
        <v>0.13887470642295519</v>
      </c>
      <c r="V57" s="10">
        <f t="shared" si="75"/>
        <v>5.3201266210558558</v>
      </c>
      <c r="W57" s="10">
        <f t="shared" si="76"/>
        <v>8.7103032778515246</v>
      </c>
      <c r="X57" s="10">
        <f t="shared" si="77"/>
        <v>4.2377208209945882</v>
      </c>
      <c r="Y57" s="10">
        <f t="shared" si="78"/>
        <v>0.57183702644746248</v>
      </c>
      <c r="Z57" s="10">
        <f t="shared" si="79"/>
        <v>0.24507301133462675</v>
      </c>
      <c r="AA57" s="10">
        <f t="shared" si="80"/>
        <v>0</v>
      </c>
      <c r="AB57" s="10">
        <f t="shared" si="81"/>
        <v>0</v>
      </c>
      <c r="AC57" s="10">
        <f t="shared" si="82"/>
        <v>0</v>
      </c>
      <c r="AD57" s="9"/>
      <c r="AE57" s="9"/>
      <c r="AF57" s="4">
        <v>0.99</v>
      </c>
      <c r="AG57" s="4">
        <v>98.92</v>
      </c>
      <c r="AH57" s="11">
        <f t="shared" si="83"/>
        <v>4648.8322717622086</v>
      </c>
      <c r="AI57" s="11">
        <f t="shared" si="84"/>
        <v>9415.5354526900974</v>
      </c>
      <c r="AJ57" s="11">
        <f t="shared" si="103"/>
        <v>1047.3157672255882</v>
      </c>
      <c r="AK57" s="9">
        <v>64</v>
      </c>
      <c r="AL57" s="9">
        <v>10</v>
      </c>
      <c r="AM57" s="9">
        <v>21</v>
      </c>
      <c r="AN57" s="9">
        <v>162</v>
      </c>
      <c r="AO57" s="9">
        <v>101</v>
      </c>
      <c r="AP57" s="9">
        <v>25.3</v>
      </c>
      <c r="AQ57" s="9">
        <v>106</v>
      </c>
      <c r="AR57" s="11">
        <v>82.4</v>
      </c>
      <c r="AS57" s="11">
        <v>51.4</v>
      </c>
      <c r="AT57" s="9">
        <v>21</v>
      </c>
      <c r="AU57" s="9">
        <v>28</v>
      </c>
      <c r="AV57" s="9">
        <v>204</v>
      </c>
      <c r="AW57" s="9">
        <v>30.2</v>
      </c>
      <c r="AX57" s="9">
        <v>0.3</v>
      </c>
      <c r="AY57" s="4">
        <v>24.8</v>
      </c>
      <c r="AZ57" s="4">
        <v>63.5</v>
      </c>
      <c r="BA57" s="4">
        <v>9</v>
      </c>
      <c r="BB57" s="4">
        <v>37.700000000000003</v>
      </c>
      <c r="BC57" s="4">
        <v>7.4</v>
      </c>
      <c r="BD57" s="4">
        <v>1.31</v>
      </c>
      <c r="BE57" s="4">
        <v>6.42</v>
      </c>
      <c r="BF57" s="4">
        <v>0.96</v>
      </c>
      <c r="BG57" s="4">
        <v>5.58</v>
      </c>
      <c r="BH57" s="4">
        <v>1</v>
      </c>
      <c r="BI57" s="4">
        <v>2.85</v>
      </c>
      <c r="BJ57" s="10">
        <v>0.45400000000000001</v>
      </c>
      <c r="BK57" s="10">
        <v>2.77</v>
      </c>
      <c r="BL57" s="10">
        <v>0.35199999999999998</v>
      </c>
      <c r="BM57" s="9" t="s">
        <v>137</v>
      </c>
      <c r="BN57" s="9">
        <v>1.29</v>
      </c>
      <c r="BO57" s="9">
        <v>0.43</v>
      </c>
      <c r="BP57" s="9">
        <v>7.9</v>
      </c>
      <c r="BQ57" s="9">
        <v>0.55000000000000004</v>
      </c>
      <c r="BR57" s="9">
        <v>115</v>
      </c>
      <c r="BS57" s="9">
        <v>2.6</v>
      </c>
      <c r="BT57" s="9">
        <v>2.2999999999999998</v>
      </c>
      <c r="BU57" s="9">
        <v>7</v>
      </c>
      <c r="BV57" s="9">
        <v>3.6</v>
      </c>
      <c r="BW57" s="9" t="s">
        <v>130</v>
      </c>
      <c r="BX57" s="9"/>
      <c r="BY57" s="9"/>
      <c r="BZ57" s="9"/>
      <c r="CA57" s="9" t="s">
        <v>131</v>
      </c>
      <c r="CB57" s="9"/>
      <c r="CC57" s="9"/>
      <c r="CD57" s="9"/>
      <c r="CE57" s="9"/>
      <c r="CF57" s="9" t="s">
        <v>135</v>
      </c>
      <c r="CG57" s="11">
        <f t="shared" si="86"/>
        <v>48.114474276008458</v>
      </c>
      <c r="CH57" s="10">
        <f t="shared" si="87"/>
        <v>0.49233944057258389</v>
      </c>
      <c r="CI57" s="10">
        <f t="shared" si="88"/>
        <v>0.13493975903614458</v>
      </c>
      <c r="CJ57" s="4">
        <f t="shared" si="89"/>
        <v>4.7100000000000009</v>
      </c>
      <c r="CK57" s="4">
        <f t="shared" si="90"/>
        <v>6.7549668874172184</v>
      </c>
      <c r="CL57" s="4">
        <f t="shared" si="100"/>
        <v>3.8079470198675498</v>
      </c>
      <c r="CM57" s="4">
        <f t="shared" si="91"/>
        <v>14.363636363636363</v>
      </c>
      <c r="CN57" s="4">
        <f t="shared" si="92"/>
        <v>6.0820423768831215</v>
      </c>
      <c r="CO57" s="4">
        <f t="shared" si="93"/>
        <v>8.9530685920577611</v>
      </c>
      <c r="CP57" s="4">
        <f t="shared" si="94"/>
        <v>2.0144404332129966</v>
      </c>
      <c r="CQ57" s="10">
        <f t="shared" si="95"/>
        <v>0.5793445459638179</v>
      </c>
      <c r="CR57" s="4">
        <f t="shared" si="96"/>
        <v>7.7142857142857144</v>
      </c>
      <c r="CS57" s="40">
        <f t="shared" si="104"/>
        <v>801.58741700094572</v>
      </c>
      <c r="CT57" s="4">
        <f t="shared" si="105"/>
        <v>52.503824351945362</v>
      </c>
      <c r="CU57" s="4">
        <f t="shared" si="106"/>
        <v>4.1930288259628758</v>
      </c>
      <c r="CV57" s="11">
        <f t="shared" si="101"/>
        <v>593.58315413708783</v>
      </c>
      <c r="CW57" s="11">
        <f t="shared" si="102"/>
        <v>472.6455380627018</v>
      </c>
      <c r="CX57" s="10"/>
      <c r="CY57" s="10"/>
      <c r="CZ57" s="10"/>
      <c r="DA57" s="4"/>
      <c r="DB57" s="31"/>
      <c r="DC57" s="31"/>
      <c r="DD57" s="32"/>
      <c r="DE57" s="32"/>
      <c r="DF57" s="11"/>
      <c r="DG57" s="11"/>
      <c r="DH57" s="9"/>
      <c r="DI57" s="9"/>
      <c r="DJ57" s="9"/>
      <c r="DK57" s="9"/>
      <c r="DL57" s="9"/>
      <c r="DM57" s="9"/>
    </row>
    <row r="58" spans="1:117" s="3" customFormat="1" ht="14" customHeight="1">
      <c r="A58" s="3" t="s">
        <v>169</v>
      </c>
      <c r="B58" s="3" t="s">
        <v>92</v>
      </c>
      <c r="C58" s="3" t="s">
        <v>166</v>
      </c>
      <c r="D58" s="4">
        <v>53.13</v>
      </c>
      <c r="E58" s="10">
        <v>1.657</v>
      </c>
      <c r="F58" s="4">
        <v>13.85</v>
      </c>
      <c r="G58" s="315">
        <v>12.649000000000001</v>
      </c>
      <c r="H58" s="10">
        <v>0.23400000000000001</v>
      </c>
      <c r="I58" s="9">
        <v>4.72</v>
      </c>
      <c r="J58" s="4">
        <v>8.4</v>
      </c>
      <c r="K58" s="10">
        <v>3.55</v>
      </c>
      <c r="L58" s="10">
        <v>0.45</v>
      </c>
      <c r="M58" s="10">
        <v>0.44</v>
      </c>
      <c r="N58" s="9"/>
      <c r="O58" s="9"/>
      <c r="P58" s="9"/>
      <c r="Q58" s="4">
        <f t="shared" si="70"/>
        <v>53.639575971731439</v>
      </c>
      <c r="R58" s="10">
        <f t="shared" si="71"/>
        <v>1.6573314662932588</v>
      </c>
      <c r="S58" s="4">
        <f t="shared" si="72"/>
        <v>13.982836951034828</v>
      </c>
      <c r="T58" s="4">
        <f t="shared" si="73"/>
        <v>12.770318021201414</v>
      </c>
      <c r="U58" s="10">
        <f t="shared" si="74"/>
        <v>0.23624432104997475</v>
      </c>
      <c r="V58" s="10">
        <f t="shared" si="75"/>
        <v>4.7652700656234224</v>
      </c>
      <c r="W58" s="10">
        <f t="shared" si="76"/>
        <v>8.4805653710247348</v>
      </c>
      <c r="X58" s="10">
        <f t="shared" si="77"/>
        <v>3.5840484603735483</v>
      </c>
      <c r="Y58" s="10">
        <f t="shared" si="78"/>
        <v>0.45431600201918215</v>
      </c>
      <c r="Z58" s="10">
        <f t="shared" si="79"/>
        <v>0.44422009086320036</v>
      </c>
      <c r="AA58" s="10">
        <f t="shared" si="80"/>
        <v>0</v>
      </c>
      <c r="AB58" s="10">
        <f t="shared" si="81"/>
        <v>0</v>
      </c>
      <c r="AC58" s="10">
        <f t="shared" si="82"/>
        <v>0</v>
      </c>
      <c r="AD58" s="9"/>
      <c r="AE58" s="9"/>
      <c r="AF58" s="4">
        <v>1.35</v>
      </c>
      <c r="AG58" s="4">
        <v>100.4</v>
      </c>
      <c r="AH58" s="11">
        <f t="shared" si="83"/>
        <v>3735.6687898089176</v>
      </c>
      <c r="AI58" s="11">
        <f t="shared" si="84"/>
        <v>9930.9626003230369</v>
      </c>
      <c r="AJ58" s="11">
        <f t="shared" si="103"/>
        <v>1920.0789065802451</v>
      </c>
      <c r="AK58" s="9">
        <v>69</v>
      </c>
      <c r="AL58" s="9">
        <v>13</v>
      </c>
      <c r="AM58" s="9">
        <v>31</v>
      </c>
      <c r="AN58" s="9">
        <v>167</v>
      </c>
      <c r="AO58" s="9">
        <v>122</v>
      </c>
      <c r="AP58" s="9">
        <v>34.700000000000003</v>
      </c>
      <c r="AQ58" s="9">
        <v>52</v>
      </c>
      <c r="AR58" s="11">
        <v>43.1</v>
      </c>
      <c r="AS58" s="11">
        <v>87.4</v>
      </c>
      <c r="AT58" s="9">
        <v>18</v>
      </c>
      <c r="AU58" s="9">
        <v>9</v>
      </c>
      <c r="AV58" s="9">
        <v>209</v>
      </c>
      <c r="AW58" s="9">
        <v>44.2</v>
      </c>
      <c r="AX58" s="9">
        <v>0.1</v>
      </c>
      <c r="AY58" s="4">
        <v>17.8</v>
      </c>
      <c r="AZ58" s="4">
        <v>44.2</v>
      </c>
      <c r="BA58" s="4">
        <v>6.68</v>
      </c>
      <c r="BB58" s="4">
        <v>31.6</v>
      </c>
      <c r="BC58" s="4">
        <v>7.96</v>
      </c>
      <c r="BD58" s="4">
        <v>1.55</v>
      </c>
      <c r="BE58" s="4">
        <v>8.66</v>
      </c>
      <c r="BF58" s="4">
        <v>1.44</v>
      </c>
      <c r="BG58" s="4">
        <v>8.58</v>
      </c>
      <c r="BH58" s="4">
        <v>1.65</v>
      </c>
      <c r="BI58" s="4">
        <v>4.42</v>
      </c>
      <c r="BJ58" s="10">
        <v>0.67300000000000004</v>
      </c>
      <c r="BK58" s="10">
        <v>4.33</v>
      </c>
      <c r="BL58" s="10">
        <v>0.61399999999999999</v>
      </c>
      <c r="BM58" s="9">
        <v>3</v>
      </c>
      <c r="BN58" s="9">
        <v>1.93</v>
      </c>
      <c r="BO58" s="9">
        <v>0.59</v>
      </c>
      <c r="BP58" s="9">
        <v>8.4</v>
      </c>
      <c r="BQ58" s="9">
        <v>0.64</v>
      </c>
      <c r="BR58" s="9">
        <v>69</v>
      </c>
      <c r="BS58" s="9">
        <v>2</v>
      </c>
      <c r="BT58" s="9">
        <v>2.8</v>
      </c>
      <c r="BU58" s="9">
        <v>4</v>
      </c>
      <c r="BV58" s="9">
        <v>1.1000000000000001</v>
      </c>
      <c r="BW58" s="9" t="s">
        <v>130</v>
      </c>
      <c r="BX58" s="9"/>
      <c r="BY58" s="9"/>
      <c r="BZ58" s="9"/>
      <c r="CA58" s="9" t="s">
        <v>131</v>
      </c>
      <c r="CB58" s="9"/>
      <c r="CC58" s="9"/>
      <c r="CD58" s="9"/>
      <c r="CE58" s="9"/>
      <c r="CF58" s="9" t="s">
        <v>135</v>
      </c>
      <c r="CG58" s="11">
        <f t="shared" si="86"/>
        <v>37.440619992333033</v>
      </c>
      <c r="CH58" s="10">
        <f t="shared" si="87"/>
        <v>0.48805349097053591</v>
      </c>
      <c r="CI58" s="10">
        <f t="shared" si="88"/>
        <v>0.12676056338028169</v>
      </c>
      <c r="CJ58" s="4">
        <f t="shared" si="89"/>
        <v>4</v>
      </c>
      <c r="CK58" s="4">
        <f t="shared" si="90"/>
        <v>4.7285067873303168</v>
      </c>
      <c r="CL58" s="4">
        <f t="shared" si="100"/>
        <v>1.5610859728506787</v>
      </c>
      <c r="CM58" s="4">
        <f t="shared" si="91"/>
        <v>13.125</v>
      </c>
      <c r="CN58" s="4">
        <f t="shared" si="92"/>
        <v>2.7926058019313791</v>
      </c>
      <c r="CO58" s="4">
        <f t="shared" si="93"/>
        <v>4.1108545034642034</v>
      </c>
      <c r="CP58" s="4">
        <f t="shared" si="94"/>
        <v>1.9815242494226328</v>
      </c>
      <c r="CQ58" s="10">
        <f t="shared" si="95"/>
        <v>0.56906938164312193</v>
      </c>
      <c r="CR58" s="4">
        <f t="shared" si="96"/>
        <v>5.387096774193548</v>
      </c>
      <c r="CS58" s="40">
        <f t="shared" si="104"/>
        <v>873.79299836898019</v>
      </c>
      <c r="CT58" s="4">
        <f t="shared" si="105"/>
        <v>53.780832775585743</v>
      </c>
      <c r="CU58" s="4">
        <f t="shared" si="106"/>
        <v>4.4354270515124954</v>
      </c>
      <c r="CV58" s="11">
        <f t="shared" si="101"/>
        <v>553.75517681684539</v>
      </c>
      <c r="CW58" s="11">
        <f t="shared" si="102"/>
        <v>431.47003935927501</v>
      </c>
      <c r="CX58" s="10"/>
      <c r="CY58" s="10"/>
      <c r="CZ58" s="10"/>
      <c r="DA58" s="4"/>
      <c r="DB58" s="31"/>
      <c r="DC58" s="31"/>
      <c r="DD58" s="32"/>
      <c r="DE58" s="32"/>
      <c r="DF58" s="11"/>
      <c r="DG58" s="11"/>
      <c r="DH58" s="9"/>
      <c r="DI58" s="9"/>
      <c r="DJ58" s="9"/>
      <c r="DK58" s="9"/>
      <c r="DL58" s="9"/>
      <c r="DM58" s="9"/>
    </row>
    <row r="59" spans="1:117" s="3" customFormat="1" ht="11" customHeight="1">
      <c r="C59" s="11"/>
      <c r="D59" s="10"/>
      <c r="E59" s="4"/>
      <c r="F59" s="30"/>
      <c r="G59" s="9"/>
      <c r="H59" s="9"/>
      <c r="I59" s="10"/>
      <c r="J59" s="9"/>
      <c r="K59" s="4"/>
      <c r="L59" s="10"/>
      <c r="M59" s="10"/>
      <c r="N59" s="10"/>
      <c r="O59" s="9"/>
      <c r="P59" s="9"/>
      <c r="Q59" s="4"/>
      <c r="R59" s="10"/>
      <c r="S59" s="4"/>
      <c r="T59" s="4"/>
      <c r="U59" s="10"/>
      <c r="V59" s="10"/>
      <c r="W59" s="10"/>
      <c r="X59" s="10"/>
      <c r="Y59" s="10"/>
      <c r="Z59" s="10"/>
      <c r="AA59" s="10"/>
      <c r="AB59" s="10"/>
      <c r="AC59" s="10"/>
      <c r="AD59" s="9"/>
      <c r="AE59" s="9"/>
      <c r="AF59" s="4"/>
      <c r="AG59" s="4"/>
      <c r="AH59" s="11">
        <f t="shared" si="83"/>
        <v>0</v>
      </c>
      <c r="AI59" s="11">
        <f t="shared" si="84"/>
        <v>0</v>
      </c>
      <c r="AJ59" s="11">
        <f t="shared" si="103"/>
        <v>0</v>
      </c>
      <c r="AK59" s="11"/>
      <c r="AL59" s="9"/>
      <c r="AM59" s="9"/>
      <c r="AN59" s="9"/>
      <c r="AO59" s="9"/>
      <c r="AP59" s="9"/>
      <c r="AQ59" s="9"/>
      <c r="AR59" s="11"/>
      <c r="AS59" s="11"/>
      <c r="AT59" s="9"/>
      <c r="AU59" s="9"/>
      <c r="AV59" s="9"/>
      <c r="AW59" s="9"/>
      <c r="AX59" s="9"/>
      <c r="AY59" s="9"/>
      <c r="AZ59" s="9"/>
      <c r="BA59" s="9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10"/>
      <c r="BN59" s="10"/>
      <c r="BO59" s="10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11"/>
      <c r="CH59" s="10"/>
      <c r="CI59" s="10"/>
      <c r="CJ59" s="4"/>
      <c r="CK59" s="4"/>
      <c r="CL59" s="4"/>
      <c r="CM59" s="4"/>
      <c r="CN59" s="4"/>
      <c r="CO59" s="4"/>
      <c r="CP59" s="4"/>
      <c r="CQ59" s="10"/>
      <c r="CR59" s="4"/>
      <c r="CS59" s="40"/>
      <c r="CT59" s="4"/>
      <c r="CU59" s="4"/>
      <c r="CV59" s="11"/>
      <c r="CW59" s="11"/>
      <c r="CX59" s="10"/>
      <c r="CY59" s="10"/>
      <c r="CZ59" s="4"/>
      <c r="DA59" s="31"/>
      <c r="DB59" s="31"/>
      <c r="DC59" s="32"/>
      <c r="DD59" s="32"/>
      <c r="DE59" s="33"/>
      <c r="DF59" s="33"/>
      <c r="DG59" s="9"/>
      <c r="DH59" s="9"/>
      <c r="DI59" s="9"/>
      <c r="DJ59" s="9"/>
      <c r="DK59" s="9"/>
      <c r="DL59" s="9"/>
    </row>
    <row r="60" spans="1:117" s="3" customFormat="1" ht="11" customHeight="1">
      <c r="A60" s="34" t="s">
        <v>193</v>
      </c>
      <c r="C60" s="11"/>
      <c r="D60" s="10"/>
      <c r="E60" s="4"/>
      <c r="F60" s="30"/>
      <c r="G60" s="9"/>
      <c r="H60" s="9"/>
      <c r="I60" s="10"/>
      <c r="J60" s="9"/>
      <c r="K60" s="4"/>
      <c r="L60" s="10"/>
      <c r="M60" s="10"/>
      <c r="N60" s="10"/>
      <c r="O60" s="9"/>
      <c r="P60" s="9"/>
      <c r="Q60" s="4"/>
      <c r="R60" s="10"/>
      <c r="S60" s="4"/>
      <c r="T60" s="4"/>
      <c r="U60" s="10"/>
      <c r="V60" s="10"/>
      <c r="W60" s="10"/>
      <c r="X60" s="10"/>
      <c r="Y60" s="10"/>
      <c r="Z60" s="10"/>
      <c r="AA60" s="10"/>
      <c r="AB60" s="10"/>
      <c r="AC60" s="10"/>
      <c r="AD60" s="9"/>
      <c r="AE60" s="9"/>
      <c r="AF60" s="4"/>
      <c r="AG60" s="4"/>
      <c r="AH60" s="11"/>
      <c r="AI60" s="11"/>
      <c r="AJ60" s="11"/>
      <c r="AK60" s="11"/>
      <c r="AL60" s="9"/>
      <c r="AM60" s="9"/>
      <c r="AN60" s="9"/>
      <c r="AO60" s="9"/>
      <c r="AP60" s="9"/>
      <c r="AQ60" s="9"/>
      <c r="AR60" s="11"/>
      <c r="AS60" s="11"/>
      <c r="AT60" s="9"/>
      <c r="AU60" s="9"/>
      <c r="AV60" s="9"/>
      <c r="AW60" s="9"/>
      <c r="AX60" s="9"/>
      <c r="AY60" s="9"/>
      <c r="AZ60" s="9"/>
      <c r="BA60" s="9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10"/>
      <c r="BN60" s="10"/>
      <c r="BO60" s="10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11"/>
      <c r="CH60" s="10"/>
      <c r="CI60" s="10"/>
      <c r="CJ60" s="4"/>
      <c r="CK60" s="4"/>
      <c r="CL60" s="4"/>
      <c r="CM60" s="4"/>
      <c r="CN60" s="4"/>
      <c r="CO60" s="4"/>
      <c r="CP60" s="4"/>
      <c r="CQ60" s="10"/>
      <c r="CR60" s="4"/>
      <c r="CS60" s="40"/>
      <c r="CT60" s="4"/>
      <c r="CU60" s="4"/>
      <c r="CV60" s="11"/>
      <c r="CW60" s="11"/>
      <c r="CX60" s="10"/>
      <c r="CY60" s="10"/>
      <c r="CZ60" s="4"/>
      <c r="DA60" s="31"/>
      <c r="DB60" s="31"/>
      <c r="DC60" s="32"/>
      <c r="DD60" s="32"/>
      <c r="DE60" s="33"/>
      <c r="DF60" s="33"/>
      <c r="DG60" s="9"/>
      <c r="DH60" s="9"/>
      <c r="DI60" s="9"/>
      <c r="DJ60" s="9"/>
      <c r="DK60" s="9"/>
      <c r="DL60" s="9"/>
    </row>
    <row r="61" spans="1:117" s="9" customFormat="1" ht="14" customHeight="1">
      <c r="A61" s="3" t="s">
        <v>171</v>
      </c>
      <c r="B61" s="3" t="s">
        <v>93</v>
      </c>
      <c r="C61" s="3" t="s">
        <v>87</v>
      </c>
      <c r="D61" s="9">
        <v>68</v>
      </c>
      <c r="E61" s="9">
        <v>0.54</v>
      </c>
      <c r="F61" s="9">
        <v>13.5</v>
      </c>
      <c r="G61" s="9">
        <v>8</v>
      </c>
      <c r="H61" s="9">
        <v>0.15</v>
      </c>
      <c r="I61" s="9">
        <v>0.5</v>
      </c>
      <c r="J61" s="9">
        <v>3.4</v>
      </c>
      <c r="K61" s="9">
        <v>5.2</v>
      </c>
      <c r="L61" s="9">
        <v>0.3</v>
      </c>
      <c r="M61" s="9">
        <v>0.16</v>
      </c>
      <c r="Q61" s="4">
        <f>100*D61/(AG61-AF61)</f>
        <v>68.1704260651629</v>
      </c>
      <c r="R61" s="10">
        <f t="shared" si="71"/>
        <v>0.54010802160432092</v>
      </c>
      <c r="S61" s="4">
        <f t="shared" si="72"/>
        <v>13.533834586466163</v>
      </c>
      <c r="T61" s="4">
        <f t="shared" si="73"/>
        <v>8.0200501253132828</v>
      </c>
      <c r="U61" s="10">
        <f t="shared" si="74"/>
        <v>0.15037593984962405</v>
      </c>
      <c r="V61" s="10">
        <f t="shared" si="75"/>
        <v>0.50125313283208017</v>
      </c>
      <c r="W61" s="10">
        <f t="shared" si="76"/>
        <v>3.4085213032581447</v>
      </c>
      <c r="X61" s="10">
        <f t="shared" si="77"/>
        <v>5.2130325814536329</v>
      </c>
      <c r="Y61" s="10">
        <f t="shared" si="78"/>
        <v>0.3007518796992481</v>
      </c>
      <c r="Z61" s="10">
        <f t="shared" si="79"/>
        <v>0.16040100250626563</v>
      </c>
      <c r="AA61" s="10">
        <f t="shared" si="80"/>
        <v>0</v>
      </c>
      <c r="AB61" s="10">
        <f t="shared" si="81"/>
        <v>0</v>
      </c>
      <c r="AC61" s="10">
        <f t="shared" si="82"/>
        <v>0</v>
      </c>
      <c r="AF61" s="4">
        <v>1.2</v>
      </c>
      <c r="AG61" s="4">
        <f>SUM(D61:M61,AF61)</f>
        <v>100.95000000000002</v>
      </c>
      <c r="AH61" s="11">
        <f t="shared" ref="AH61:AH66" si="107">L61*39.1*2/(39.1*2+16)*10000</f>
        <v>2490.4458598726114</v>
      </c>
      <c r="AI61" s="11">
        <f t="shared" ref="AI61:AI66" si="108">E61*47.867/(47.867+32)*10000</f>
        <v>3236.4030200207849</v>
      </c>
      <c r="AJ61" s="11">
        <f t="shared" ref="AJ61:AJ66" si="109">M61*2*30.97/(2*30.97+16*5)*10000</f>
        <v>698.21051148372544</v>
      </c>
      <c r="AK61" s="9">
        <v>250</v>
      </c>
      <c r="AM61" s="9">
        <v>27</v>
      </c>
      <c r="AN61" s="9" t="s">
        <v>66</v>
      </c>
      <c r="AO61" s="9" t="s">
        <v>66</v>
      </c>
      <c r="AP61" s="9" t="s">
        <v>66</v>
      </c>
      <c r="AQ61" s="9" t="s">
        <v>66</v>
      </c>
      <c r="AR61" s="11">
        <v>28</v>
      </c>
      <c r="AS61" s="11">
        <v>35</v>
      </c>
      <c r="AT61" s="9">
        <v>21</v>
      </c>
      <c r="AU61" s="9">
        <v>4</v>
      </c>
      <c r="AV61" s="9">
        <v>110</v>
      </c>
      <c r="AW61" s="9">
        <v>43</v>
      </c>
      <c r="AX61" s="10">
        <v>0.83</v>
      </c>
      <c r="AY61" s="4">
        <v>13</v>
      </c>
      <c r="AZ61" s="4">
        <v>35</v>
      </c>
      <c r="BA61" s="4">
        <v>4.9000000000000004</v>
      </c>
      <c r="BB61" s="4">
        <v>22</v>
      </c>
      <c r="BC61" s="4">
        <v>5.5</v>
      </c>
      <c r="BD61" s="4">
        <v>1.9</v>
      </c>
      <c r="BE61" s="4">
        <v>6.5</v>
      </c>
      <c r="BF61" s="4">
        <v>1.1000000000000001</v>
      </c>
      <c r="BG61" s="4">
        <v>6.5</v>
      </c>
      <c r="BH61" s="4">
        <v>1.4</v>
      </c>
      <c r="BI61" s="4">
        <v>4.2</v>
      </c>
      <c r="BJ61" s="9">
        <v>0.64</v>
      </c>
      <c r="BK61" s="4">
        <v>4.8</v>
      </c>
      <c r="BL61" s="10">
        <v>0.66</v>
      </c>
      <c r="BN61" s="4">
        <v>2.1</v>
      </c>
      <c r="BO61" s="10">
        <v>0.49</v>
      </c>
      <c r="BP61" s="4">
        <v>12</v>
      </c>
      <c r="BQ61" s="4">
        <v>0.5</v>
      </c>
      <c r="BR61" s="9">
        <v>240</v>
      </c>
      <c r="BS61" s="4">
        <v>5.5</v>
      </c>
      <c r="CG61" s="11">
        <f>100*(I61/40.31)/(G61/0.89981/71.85+I61/40.31)</f>
        <v>9.1108109582325802</v>
      </c>
      <c r="CH61" s="10">
        <f>(F61/133.96)/(J61/56.08+K61/61.98+L61/94.2)</f>
        <v>0.68225620995910674</v>
      </c>
      <c r="CI61" s="10">
        <f>L61/K61</f>
        <v>5.7692307692307689E-2</v>
      </c>
      <c r="CJ61" s="4">
        <f>K61+L61</f>
        <v>5.5</v>
      </c>
      <c r="CK61" s="4">
        <f t="shared" ref="CK61:CK65" si="110">AV61/AW61</f>
        <v>2.558139534883721</v>
      </c>
      <c r="CL61" s="4">
        <f t="shared" ref="CL61:CL65" si="111">BR61/AW61</f>
        <v>5.5813953488372094</v>
      </c>
      <c r="CM61" s="4">
        <f t="shared" ref="CM61:CM65" si="112">BP61/BQ61</f>
        <v>24</v>
      </c>
      <c r="CN61" s="4">
        <f t="shared" ref="CN61:CN65" si="113">(AY61/0.237)/(BK61/0.161)</f>
        <v>1.8398382559774966</v>
      </c>
      <c r="CO61" s="4">
        <f t="shared" ref="CO61:CO65" si="114">AY61/BK61</f>
        <v>2.7083333333333335</v>
      </c>
      <c r="CP61" s="4">
        <f t="shared" ref="CP61:CP65" si="115">BG61/BK61</f>
        <v>1.3541666666666667</v>
      </c>
      <c r="CQ61" s="10">
        <f t="shared" ref="CQ61:CQ65" si="116">(BD61/0.0563)/(((BC61/0.148)*(BE61/0.199))^(1/2))</f>
        <v>0.96864486147089746</v>
      </c>
      <c r="CR61" s="4"/>
      <c r="CS61" s="40">
        <f>(26400*D61/100-4800)/(12.4*D61/100-LN(M61/100)-3.97)-273.15</f>
        <v>933.4829970296222</v>
      </c>
      <c r="CT61" s="4">
        <f>D61*28.086/(28.086+15.999*2)+F61*26.982*2/(26.982*2+15.999*3)+G61*55.845*2/(55.845*2+15.999*3)+J61*40.078/(40.078+15.999)+I61*32.99*2/(22.99*2+15.999)+L61*39.098*2/(39.098*2+15.999)+O61*51.996*2/(51.996*2+15.999*3)+E61*47.867/(47.867+15.999*2)+H61*54.938/(54.938+15.999)+M61*30.974*2/(30.974*2+15.999*5)+P61*87.62/(87.62+15.999)+N61*137.328/(137.328+15.999)</f>
        <v>48.247705656110504</v>
      </c>
      <c r="CU61" s="4">
        <f>(K61*22.99*2/(22.99*2+15.999)+L61*39.098*2/(39.098*2+15.999)+2*J61*40.078/(40.078+15.999))/((F61*2*26.982/(26.982*2+15.999*3))*(D61*28.086/(28.086+15.999*2)))*CT61</f>
        <v>1.9048645652196801</v>
      </c>
      <c r="CV61" s="11">
        <f t="shared" ref="CV61:CV65" si="117">12900/(3.8+0.85*(CU61-1)+LN(496000/BR61))-273.15</f>
        <v>783.9820750426926</v>
      </c>
      <c r="CW61" s="11">
        <f t="shared" ref="CW61:CW65" si="118">10108/(1.48+1.16*(CU61-1)+LN(496000/BR61))-273.15</f>
        <v>721.40541148150112</v>
      </c>
      <c r="CX61" s="31"/>
      <c r="CY61" s="31"/>
      <c r="CZ61" s="32"/>
      <c r="DA61" s="32"/>
      <c r="DB61" s="32"/>
      <c r="DC61" s="32"/>
    </row>
    <row r="62" spans="1:117" s="9" customFormat="1" ht="14" customHeight="1">
      <c r="A62" s="3" t="s">
        <v>172</v>
      </c>
      <c r="B62" s="3" t="s">
        <v>93</v>
      </c>
      <c r="C62" s="3" t="s">
        <v>87</v>
      </c>
      <c r="D62" s="9">
        <v>68.400000000000006</v>
      </c>
      <c r="E62" s="9">
        <v>0.25</v>
      </c>
      <c r="F62" s="9">
        <v>15.8</v>
      </c>
      <c r="G62" s="9">
        <v>4.2</v>
      </c>
      <c r="H62" s="9">
        <v>0.06</v>
      </c>
      <c r="I62" s="9">
        <v>0.5</v>
      </c>
      <c r="J62" s="9">
        <v>3.28</v>
      </c>
      <c r="K62" s="9">
        <v>5.4</v>
      </c>
      <c r="L62" s="9">
        <v>0.9</v>
      </c>
      <c r="M62" s="9">
        <v>0.08</v>
      </c>
      <c r="Q62" s="4">
        <f t="shared" si="70"/>
        <v>69.18175381814504</v>
      </c>
      <c r="R62" s="10">
        <f t="shared" si="71"/>
        <v>0.25005001000200044</v>
      </c>
      <c r="S62" s="4">
        <f t="shared" si="72"/>
        <v>15.980580560331745</v>
      </c>
      <c r="T62" s="4">
        <f t="shared" si="73"/>
        <v>4.2480024274299577</v>
      </c>
      <c r="U62" s="10">
        <f t="shared" si="74"/>
        <v>6.0685748963285109E-2</v>
      </c>
      <c r="V62" s="10">
        <f t="shared" si="75"/>
        <v>0.50571457469404257</v>
      </c>
      <c r="W62" s="10">
        <f t="shared" si="76"/>
        <v>3.3174876099929196</v>
      </c>
      <c r="X62" s="10">
        <f t="shared" si="77"/>
        <v>5.4617174066956595</v>
      </c>
      <c r="Y62" s="10">
        <f t="shared" si="78"/>
        <v>0.9102862344492767</v>
      </c>
      <c r="Z62" s="10">
        <f t="shared" si="79"/>
        <v>8.0914331951046817E-2</v>
      </c>
      <c r="AA62" s="10">
        <f t="shared" si="80"/>
        <v>0</v>
      </c>
      <c r="AB62" s="10">
        <f t="shared" si="81"/>
        <v>0</v>
      </c>
      <c r="AC62" s="10">
        <f t="shared" si="82"/>
        <v>0</v>
      </c>
      <c r="AF62" s="4">
        <v>1.3</v>
      </c>
      <c r="AG62" s="4">
        <f t="shared" ref="AG62:AG65" si="119">SUM(D62:M62,AF62)</f>
        <v>100.17000000000002</v>
      </c>
      <c r="AH62" s="11">
        <f t="shared" si="107"/>
        <v>7471.3375796178352</v>
      </c>
      <c r="AI62" s="11">
        <f t="shared" si="108"/>
        <v>1498.3347314911041</v>
      </c>
      <c r="AJ62" s="11">
        <f t="shared" si="109"/>
        <v>349.10525574186272</v>
      </c>
      <c r="AK62" s="9">
        <v>215</v>
      </c>
      <c r="AM62" s="9">
        <v>5</v>
      </c>
      <c r="AN62" s="9" t="s">
        <v>66</v>
      </c>
      <c r="AO62" s="9">
        <v>16</v>
      </c>
      <c r="AP62" s="9" t="s">
        <v>66</v>
      </c>
      <c r="AQ62" s="9" t="s">
        <v>66</v>
      </c>
      <c r="AR62" s="11" t="s">
        <v>66</v>
      </c>
      <c r="AS62" s="11">
        <v>43</v>
      </c>
      <c r="AT62" s="9">
        <v>20</v>
      </c>
      <c r="AU62" s="9">
        <v>25</v>
      </c>
      <c r="AV62" s="9">
        <v>164</v>
      </c>
      <c r="AW62" s="9">
        <v>32</v>
      </c>
      <c r="AX62" s="10">
        <v>0.24</v>
      </c>
      <c r="AY62" s="4">
        <v>10</v>
      </c>
      <c r="AZ62" s="4">
        <v>32</v>
      </c>
      <c r="BA62" s="4">
        <v>3</v>
      </c>
      <c r="BB62" s="4">
        <v>14</v>
      </c>
      <c r="BC62" s="4">
        <v>3.8</v>
      </c>
      <c r="BD62" s="4">
        <v>1.3</v>
      </c>
      <c r="BE62" s="4">
        <v>4.0999999999999996</v>
      </c>
      <c r="BF62" s="4">
        <v>0.8</v>
      </c>
      <c r="BG62" s="4">
        <v>5</v>
      </c>
      <c r="BH62" s="4">
        <v>1.1000000000000001</v>
      </c>
      <c r="BI62" s="4">
        <v>3.1</v>
      </c>
      <c r="BJ62" s="9">
        <v>0.53</v>
      </c>
      <c r="BK62" s="4">
        <v>3.8</v>
      </c>
      <c r="BL62" s="10">
        <v>0.62</v>
      </c>
      <c r="BN62" s="4">
        <v>2.8</v>
      </c>
      <c r="BO62" s="10">
        <v>0.45</v>
      </c>
      <c r="BP62" s="4">
        <v>10</v>
      </c>
      <c r="BQ62" s="4">
        <v>0.6</v>
      </c>
      <c r="BR62" s="9">
        <v>477</v>
      </c>
      <c r="BS62" s="4">
        <v>9.8000000000000007</v>
      </c>
      <c r="CG62" s="11">
        <f>100*(I62/40.31)/(G62/0.89981/71.85+I62/40.31)</f>
        <v>16.032359828700447</v>
      </c>
      <c r="CH62" s="10">
        <f>(F62/133.96)/(J62/56.08+K62/61.98+L62/94.2)</f>
        <v>0.76012126487803033</v>
      </c>
      <c r="CI62" s="10">
        <f>L62/K62</f>
        <v>0.16666666666666666</v>
      </c>
      <c r="CJ62" s="4">
        <f>K62+L62</f>
        <v>6.3000000000000007</v>
      </c>
      <c r="CK62" s="4">
        <f t="shared" si="110"/>
        <v>5.125</v>
      </c>
      <c r="CL62" s="4">
        <f t="shared" si="111"/>
        <v>14.90625</v>
      </c>
      <c r="CM62" s="4">
        <f t="shared" si="112"/>
        <v>16.666666666666668</v>
      </c>
      <c r="CN62" s="4">
        <f t="shared" si="113"/>
        <v>1.7876970908283367</v>
      </c>
      <c r="CO62" s="4">
        <f t="shared" si="114"/>
        <v>2.6315789473684212</v>
      </c>
      <c r="CP62" s="4">
        <f t="shared" si="115"/>
        <v>1.3157894736842106</v>
      </c>
      <c r="CQ62" s="10">
        <f t="shared" si="116"/>
        <v>1.0039420076985315</v>
      </c>
      <c r="CR62" s="4"/>
      <c r="CS62" s="40">
        <f>(26400*D62/100-4800)/(12.4*D62/100-LN(M62/100)-3.97)-273.15</f>
        <v>865.57461515742727</v>
      </c>
      <c r="CT62" s="4">
        <f>D62*28.086/(28.086+15.999*2)+F62*26.982*2/(26.982*2+15.999*3)+G62*55.845*2/(55.845*2+15.999*3)+J62*40.078/(40.078+15.999)+I62*32.99*2/(22.99*2+15.999)+L62*39.098*2/(39.098*2+15.999)+O62*51.996*2/(51.996*2+15.999*3)+E62*47.867/(47.867+15.999*2)+H62*54.938/(54.938+15.999)+M62*30.974*2/(30.974*2+15.999*5)+P62*87.62/(87.62+15.999)+N62*137.328/(137.328+15.999)</f>
        <v>47.128047310086167</v>
      </c>
      <c r="CU62" s="4">
        <f>(K62*22.99*2/(22.99*2+15.999)+L62*39.098*2/(39.098*2+15.999)+2*J62*40.078/(40.078+15.999))/((F62*2*26.982/(26.982*2+15.999*3))*(D62*28.086/(28.086+15.999*2)))*CT62</f>
        <v>1.6642212318024643</v>
      </c>
      <c r="CV62" s="11">
        <f t="shared" si="117"/>
        <v>867.29210710159953</v>
      </c>
      <c r="CW62" s="11">
        <f t="shared" si="118"/>
        <v>825.86683462235681</v>
      </c>
      <c r="CX62" s="31"/>
      <c r="CY62" s="31"/>
      <c r="CZ62" s="32"/>
      <c r="DA62" s="32"/>
      <c r="DB62" s="32"/>
      <c r="DC62" s="32"/>
    </row>
    <row r="63" spans="1:117" s="9" customFormat="1" ht="14" customHeight="1">
      <c r="A63" s="3" t="s">
        <v>174</v>
      </c>
      <c r="B63" s="3" t="s">
        <v>93</v>
      </c>
      <c r="C63" s="3" t="s">
        <v>87</v>
      </c>
      <c r="D63" s="9">
        <v>71.7</v>
      </c>
      <c r="E63" s="9">
        <v>0.33</v>
      </c>
      <c r="F63" s="9">
        <v>13.1</v>
      </c>
      <c r="G63" s="9">
        <v>5.0999999999999996</v>
      </c>
      <c r="H63" s="9">
        <v>0.09</v>
      </c>
      <c r="I63" s="9">
        <v>0.7</v>
      </c>
      <c r="J63" s="9">
        <v>2.6</v>
      </c>
      <c r="K63" s="9">
        <v>4.5</v>
      </c>
      <c r="L63" s="9">
        <v>0.5</v>
      </c>
      <c r="M63" s="9">
        <v>0.08</v>
      </c>
      <c r="Q63" s="4">
        <f t="shared" si="70"/>
        <v>72.644376899696056</v>
      </c>
      <c r="R63" s="10">
        <f t="shared" si="71"/>
        <v>0.33006601320264056</v>
      </c>
      <c r="S63" s="4">
        <f t="shared" si="72"/>
        <v>13.272543059777103</v>
      </c>
      <c r="T63" s="4">
        <f t="shared" si="73"/>
        <v>5.1671732522796354</v>
      </c>
      <c r="U63" s="10">
        <f t="shared" si="74"/>
        <v>9.1185410334346517E-2</v>
      </c>
      <c r="V63" s="10">
        <f t="shared" si="75"/>
        <v>0.7092198581560285</v>
      </c>
      <c r="W63" s="10">
        <f t="shared" si="76"/>
        <v>2.6342451874366772</v>
      </c>
      <c r="X63" s="10">
        <f t="shared" si="77"/>
        <v>4.5592705167173255</v>
      </c>
      <c r="Y63" s="10">
        <f t="shared" si="78"/>
        <v>0.50658561296859173</v>
      </c>
      <c r="Z63" s="10">
        <f t="shared" si="79"/>
        <v>8.1053698074974687E-2</v>
      </c>
      <c r="AA63" s="10">
        <f t="shared" si="80"/>
        <v>0</v>
      </c>
      <c r="AB63" s="10">
        <f t="shared" si="81"/>
        <v>0</v>
      </c>
      <c r="AC63" s="10">
        <f t="shared" si="82"/>
        <v>0</v>
      </c>
      <c r="AF63" s="4">
        <v>1.3</v>
      </c>
      <c r="AG63" s="4">
        <f t="shared" si="119"/>
        <v>99.999999999999986</v>
      </c>
      <c r="AH63" s="11">
        <f t="shared" si="107"/>
        <v>4150.7430997876863</v>
      </c>
      <c r="AI63" s="11">
        <f t="shared" si="108"/>
        <v>1977.8018455682575</v>
      </c>
      <c r="AJ63" s="11">
        <f t="shared" si="109"/>
        <v>349.10525574186272</v>
      </c>
      <c r="AK63" s="9">
        <v>210</v>
      </c>
      <c r="AM63" s="9">
        <v>13</v>
      </c>
      <c r="AN63" s="9">
        <v>14</v>
      </c>
      <c r="AO63" s="9" t="s">
        <v>66</v>
      </c>
      <c r="AP63" s="9" t="s">
        <v>66</v>
      </c>
      <c r="AQ63" s="9" t="s">
        <v>66</v>
      </c>
      <c r="AR63" s="11">
        <v>10</v>
      </c>
      <c r="AS63" s="11">
        <v>39</v>
      </c>
      <c r="AT63" s="9">
        <v>18</v>
      </c>
      <c r="AU63" s="9">
        <v>14</v>
      </c>
      <c r="AV63" s="9">
        <v>110</v>
      </c>
      <c r="AW63" s="9">
        <v>52</v>
      </c>
      <c r="AX63" s="10">
        <v>0.21</v>
      </c>
      <c r="AY63" s="4">
        <v>16</v>
      </c>
      <c r="AZ63" s="4">
        <v>39</v>
      </c>
      <c r="BA63" s="4">
        <v>5.6</v>
      </c>
      <c r="BB63" s="4">
        <v>25</v>
      </c>
      <c r="BC63" s="4">
        <v>6.6</v>
      </c>
      <c r="BD63" s="4">
        <v>2</v>
      </c>
      <c r="BE63" s="4">
        <v>7.9</v>
      </c>
      <c r="BF63" s="4">
        <v>1.4</v>
      </c>
      <c r="BG63" s="4">
        <v>8.4</v>
      </c>
      <c r="BH63" s="4">
        <v>1.7</v>
      </c>
      <c r="BI63" s="4">
        <v>5.4</v>
      </c>
      <c r="BJ63" s="9">
        <v>0.78</v>
      </c>
      <c r="BK63" s="4">
        <v>5.8</v>
      </c>
      <c r="BL63" s="10">
        <v>0.86</v>
      </c>
      <c r="BN63" s="4">
        <v>2.8</v>
      </c>
      <c r="BO63" s="10">
        <v>0.43</v>
      </c>
      <c r="BP63" s="4">
        <v>11</v>
      </c>
      <c r="BQ63" s="4">
        <v>0.4</v>
      </c>
      <c r="BR63" s="9">
        <v>470</v>
      </c>
      <c r="BS63" s="4">
        <v>9.5</v>
      </c>
      <c r="CG63" s="11">
        <f>100*(I63/40.31)/(G63/0.89981/71.85+I63/40.31)</f>
        <v>18.041977085728245</v>
      </c>
      <c r="CH63" s="10">
        <f>(F63/133.96)/(J63/56.08+K63/61.98+L63/94.2)</f>
        <v>0.78689170570894673</v>
      </c>
      <c r="CI63" s="10">
        <f>L63/K63</f>
        <v>0.1111111111111111</v>
      </c>
      <c r="CJ63" s="4">
        <f>K63+L63</f>
        <v>5</v>
      </c>
      <c r="CK63" s="4">
        <f t="shared" si="110"/>
        <v>2.1153846153846154</v>
      </c>
      <c r="CL63" s="4">
        <f t="shared" si="111"/>
        <v>9.0384615384615383</v>
      </c>
      <c r="CM63" s="4">
        <f t="shared" si="112"/>
        <v>27.5</v>
      </c>
      <c r="CN63" s="4">
        <f t="shared" si="113"/>
        <v>1.8739997090062563</v>
      </c>
      <c r="CO63" s="4">
        <f t="shared" si="114"/>
        <v>2.7586206896551726</v>
      </c>
      <c r="CP63" s="4">
        <f t="shared" si="115"/>
        <v>1.4482758620689655</v>
      </c>
      <c r="CQ63" s="10">
        <f t="shared" si="116"/>
        <v>0.84429357297021823</v>
      </c>
      <c r="CR63" s="4">
        <f t="shared" ref="CR63:CR65" si="120">AN63/AM63</f>
        <v>1.0769230769230769</v>
      </c>
      <c r="CS63" s="40">
        <f>(26400*D63/100-4800)/(12.4*D63/100-LN(M63/100)-3.97)-273.15</f>
        <v>899.19924295337512</v>
      </c>
      <c r="CT63" s="4">
        <f>D63*28.086/(28.086+15.999*2)+F63*26.982*2/(26.982*2+15.999*3)+G63*55.845*2/(55.845*2+15.999*3)+J63*40.078/(40.078+15.999)+I63*32.99*2/(22.99*2+15.999)+L63*39.098*2/(39.098*2+15.999)+O63*51.996*2/(51.996*2+15.999*3)+E63*47.867/(47.867+15.999*2)+H63*54.938/(54.938+15.999)+M63*30.974*2/(30.974*2+15.999*5)+P63*87.62/(87.62+15.999)+N63*137.328/(137.328+15.999)</f>
        <v>47.337139505010427</v>
      </c>
      <c r="CU63" s="4">
        <f>(K63*22.99*2/(22.99*2+15.999)+L63*39.098*2/(39.098*2+15.999)+2*J63*40.078/(40.078+15.999))/((F63*2*26.982/(26.982*2+15.999*3))*(D63*28.086/(28.086+15.999*2)))*CT63</f>
        <v>1.5216831219344253</v>
      </c>
      <c r="CV63" s="11">
        <f t="shared" si="117"/>
        <v>878.11875713099869</v>
      </c>
      <c r="CW63" s="11">
        <f t="shared" si="118"/>
        <v>844.15720514774546</v>
      </c>
      <c r="CX63" s="31"/>
      <c r="CY63" s="31"/>
      <c r="CZ63" s="32"/>
      <c r="DA63" s="32"/>
      <c r="DB63" s="32"/>
      <c r="DC63" s="32"/>
    </row>
    <row r="64" spans="1:117" s="9" customFormat="1" ht="14" customHeight="1">
      <c r="A64" s="3" t="s">
        <v>175</v>
      </c>
      <c r="B64" s="3" t="s">
        <v>93</v>
      </c>
      <c r="C64" s="3" t="s">
        <v>87</v>
      </c>
      <c r="D64" s="9">
        <v>74.400000000000006</v>
      </c>
      <c r="E64" s="9">
        <v>0.28999999999999998</v>
      </c>
      <c r="F64" s="9">
        <v>12.7</v>
      </c>
      <c r="G64" s="9">
        <v>2.1</v>
      </c>
      <c r="H64" s="9">
        <v>0.03</v>
      </c>
      <c r="I64" s="9">
        <v>0.3</v>
      </c>
      <c r="J64" s="9">
        <v>3</v>
      </c>
      <c r="K64" s="9">
        <v>5.6</v>
      </c>
      <c r="L64" s="9">
        <v>0.2</v>
      </c>
      <c r="M64" s="9">
        <v>0.06</v>
      </c>
      <c r="Q64" s="4">
        <f t="shared" si="70"/>
        <v>75.395216862586139</v>
      </c>
      <c r="R64" s="10">
        <f t="shared" si="71"/>
        <v>0.29005801160232048</v>
      </c>
      <c r="S64" s="4">
        <f t="shared" si="72"/>
        <v>12.869882448317794</v>
      </c>
      <c r="T64" s="4">
        <f t="shared" si="73"/>
        <v>2.1280907985407378</v>
      </c>
      <c r="U64" s="10">
        <f t="shared" si="74"/>
        <v>3.0401297122010538E-2</v>
      </c>
      <c r="V64" s="10">
        <f t="shared" si="75"/>
        <v>0.30401297122010534</v>
      </c>
      <c r="W64" s="10">
        <f t="shared" si="76"/>
        <v>3.0401297122010535</v>
      </c>
      <c r="X64" s="10">
        <f t="shared" si="77"/>
        <v>5.6749087961086335</v>
      </c>
      <c r="Y64" s="10">
        <f t="shared" si="78"/>
        <v>0.20267531414673692</v>
      </c>
      <c r="Z64" s="10">
        <f t="shared" si="79"/>
        <v>6.0802594244021076E-2</v>
      </c>
      <c r="AA64" s="10">
        <f t="shared" si="80"/>
        <v>0</v>
      </c>
      <c r="AB64" s="10">
        <f t="shared" si="81"/>
        <v>0</v>
      </c>
      <c r="AC64" s="10">
        <f t="shared" si="82"/>
        <v>0</v>
      </c>
      <c r="AF64" s="4">
        <v>0.4</v>
      </c>
      <c r="AG64" s="4">
        <f t="shared" si="119"/>
        <v>99.080000000000013</v>
      </c>
      <c r="AH64" s="11">
        <f t="shared" si="107"/>
        <v>1660.2972399150742</v>
      </c>
      <c r="AI64" s="11">
        <f t="shared" si="108"/>
        <v>1738.0682885296806</v>
      </c>
      <c r="AJ64" s="11">
        <f t="shared" si="109"/>
        <v>261.82894180639704</v>
      </c>
      <c r="AK64" s="9">
        <v>240</v>
      </c>
      <c r="AM64" s="9">
        <v>10</v>
      </c>
      <c r="AN64" s="9" t="s">
        <v>66</v>
      </c>
      <c r="AO64" s="9" t="s">
        <v>66</v>
      </c>
      <c r="AP64" s="9" t="s">
        <v>66</v>
      </c>
      <c r="AQ64" s="9" t="s">
        <v>66</v>
      </c>
      <c r="AR64" s="11" t="s">
        <v>66</v>
      </c>
      <c r="AS64" s="11">
        <v>7</v>
      </c>
      <c r="AT64" s="9">
        <v>16</v>
      </c>
      <c r="AU64" s="9">
        <v>2.7</v>
      </c>
      <c r="AV64" s="9">
        <v>100</v>
      </c>
      <c r="AW64" s="9">
        <v>57</v>
      </c>
      <c r="AX64" s="10">
        <v>0.1</v>
      </c>
      <c r="AY64" s="4">
        <v>15</v>
      </c>
      <c r="AZ64" s="4">
        <v>40</v>
      </c>
      <c r="BA64" s="4">
        <v>5.8</v>
      </c>
      <c r="BB64" s="4">
        <v>25</v>
      </c>
      <c r="BC64" s="4">
        <v>7</v>
      </c>
      <c r="BD64" s="4">
        <v>1.6</v>
      </c>
      <c r="BE64" s="4">
        <v>7.8</v>
      </c>
      <c r="BF64" s="4">
        <v>1.4</v>
      </c>
      <c r="BG64" s="4">
        <v>8.5</v>
      </c>
      <c r="BH64" s="4">
        <v>1.9</v>
      </c>
      <c r="BI64" s="4">
        <v>5.4</v>
      </c>
      <c r="BJ64" s="9">
        <v>0.84</v>
      </c>
      <c r="BK64" s="4">
        <v>5.9</v>
      </c>
      <c r="BL64" s="10">
        <v>0.88</v>
      </c>
      <c r="BN64" s="4">
        <v>3.7</v>
      </c>
      <c r="BO64" s="10">
        <v>0.79</v>
      </c>
      <c r="BP64" s="4">
        <v>13</v>
      </c>
      <c r="BQ64" s="4">
        <v>0.8</v>
      </c>
      <c r="BR64" s="9">
        <v>460</v>
      </c>
      <c r="BS64" s="4">
        <v>9.1</v>
      </c>
      <c r="CG64" s="11">
        <f>100*(I64/40.31)/(G64/0.89981/71.85+I64/40.31)</f>
        <v>18.641109833525714</v>
      </c>
      <c r="CH64" s="10">
        <f>(F64/133.96)/(J64/56.08+K64/61.98+L64/94.2)</f>
        <v>0.64947934458913215</v>
      </c>
      <c r="CI64" s="10">
        <f>L64/K64</f>
        <v>3.5714285714285719E-2</v>
      </c>
      <c r="CJ64" s="4">
        <f>K64+L64</f>
        <v>5.8</v>
      </c>
      <c r="CK64" s="4">
        <f t="shared" si="110"/>
        <v>1.7543859649122806</v>
      </c>
      <c r="CL64" s="4">
        <f t="shared" si="111"/>
        <v>8.0701754385964914</v>
      </c>
      <c r="CM64" s="4">
        <f t="shared" si="112"/>
        <v>16.25</v>
      </c>
      <c r="CN64" s="4">
        <f t="shared" si="113"/>
        <v>1.7270971894443252</v>
      </c>
      <c r="CO64" s="4">
        <f t="shared" si="114"/>
        <v>2.5423728813559321</v>
      </c>
      <c r="CP64" s="4">
        <f t="shared" si="115"/>
        <v>1.4406779661016949</v>
      </c>
      <c r="CQ64" s="10">
        <f t="shared" si="116"/>
        <v>0.66004365775809193</v>
      </c>
      <c r="CR64" s="4"/>
      <c r="CS64" s="40">
        <f>(26400*D64/100-4800)/(12.4*D64/100-LN(M64/100)-3.97)-273.15</f>
        <v>897.86058552682596</v>
      </c>
      <c r="CT64" s="4">
        <f>D64*28.086/(28.086+15.999*2)+F64*26.982*2/(26.982*2+15.999*3)+G64*55.845*2/(55.845*2+15.999*3)+J64*40.078/(40.078+15.999)+I64*32.99*2/(22.99*2+15.999)+L64*39.098*2/(39.098*2+15.999)+O64*51.996*2/(51.996*2+15.999*3)+E64*47.867/(47.867+15.999*2)+H64*54.938/(54.938+15.999)+M64*30.974*2/(30.974*2+15.999*5)+P64*87.62/(87.62+15.999)+N64*137.328/(137.328+15.999)</f>
        <v>45.821087190719602</v>
      </c>
      <c r="CU64" s="4">
        <f>(K64*22.99*2/(22.99*2+15.999)+L64*39.098*2/(39.098*2+15.999)+2*J64*40.078/(40.078+15.999))/((F64*2*26.982/(26.982*2+15.999*3))*(D64*28.086/(28.086+15.999*2)))*CT64</f>
        <v>1.6874169690732914</v>
      </c>
      <c r="CV64" s="11">
        <f t="shared" si="117"/>
        <v>861.67323379031461</v>
      </c>
      <c r="CW64" s="11">
        <f t="shared" si="118"/>
        <v>818.36674649084341</v>
      </c>
      <c r="CX64" s="31"/>
      <c r="CY64" s="31"/>
      <c r="CZ64" s="32"/>
      <c r="DA64" s="32"/>
      <c r="DB64" s="32"/>
      <c r="DC64" s="32"/>
    </row>
    <row r="65" spans="1:107" s="9" customFormat="1" ht="14" customHeight="1">
      <c r="A65" s="3" t="s">
        <v>176</v>
      </c>
      <c r="B65" s="3" t="s">
        <v>93</v>
      </c>
      <c r="C65" s="3" t="s">
        <v>87</v>
      </c>
      <c r="D65" s="9">
        <v>75.599999999999994</v>
      </c>
      <c r="E65" s="9">
        <v>0.35</v>
      </c>
      <c r="F65" s="9">
        <v>12.2</v>
      </c>
      <c r="G65" s="9">
        <v>3.8</v>
      </c>
      <c r="H65" s="9">
        <v>0.04</v>
      </c>
      <c r="I65" s="9">
        <v>0.5</v>
      </c>
      <c r="J65" s="9">
        <v>2.4</v>
      </c>
      <c r="K65" s="9">
        <v>4.2</v>
      </c>
      <c r="L65" s="9">
        <v>0.5</v>
      </c>
      <c r="M65" s="9">
        <v>0.03</v>
      </c>
      <c r="Q65" s="4">
        <f t="shared" si="70"/>
        <v>75.888375828146948</v>
      </c>
      <c r="R65" s="10">
        <f t="shared" si="71"/>
        <v>0.35007001400280058</v>
      </c>
      <c r="S65" s="4">
        <f t="shared" si="72"/>
        <v>12.246536839991968</v>
      </c>
      <c r="T65" s="4">
        <f t="shared" si="73"/>
        <v>3.8144950813089737</v>
      </c>
      <c r="U65" s="10">
        <f t="shared" si="74"/>
        <v>4.0152579803252354E-2</v>
      </c>
      <c r="V65" s="10">
        <f t="shared" si="75"/>
        <v>0.50190724754065441</v>
      </c>
      <c r="W65" s="10">
        <f t="shared" si="76"/>
        <v>2.4091547881951416</v>
      </c>
      <c r="X65" s="10">
        <f t="shared" si="77"/>
        <v>4.2160208793414977</v>
      </c>
      <c r="Y65" s="10">
        <f t="shared" si="78"/>
        <v>0.50190724754065441</v>
      </c>
      <c r="Z65" s="10">
        <f t="shared" si="79"/>
        <v>3.0114434852439267E-2</v>
      </c>
      <c r="AA65" s="10">
        <f t="shared" si="80"/>
        <v>0</v>
      </c>
      <c r="AB65" s="10">
        <f t="shared" si="81"/>
        <v>0</v>
      </c>
      <c r="AC65" s="10">
        <f t="shared" si="82"/>
        <v>0</v>
      </c>
      <c r="AF65" s="4">
        <v>1.1000000000000001</v>
      </c>
      <c r="AG65" s="4">
        <f t="shared" si="119"/>
        <v>100.72</v>
      </c>
      <c r="AH65" s="11">
        <f t="shared" si="107"/>
        <v>4150.7430997876863</v>
      </c>
      <c r="AI65" s="11">
        <f t="shared" si="108"/>
        <v>2097.6686240875456</v>
      </c>
      <c r="AJ65" s="11">
        <f t="shared" si="109"/>
        <v>130.91447090319852</v>
      </c>
      <c r="AK65" s="9">
        <v>200</v>
      </c>
      <c r="AM65" s="9">
        <v>7</v>
      </c>
      <c r="AN65" s="9">
        <v>11</v>
      </c>
      <c r="AO65" s="9" t="s">
        <v>66</v>
      </c>
      <c r="AP65" s="9" t="s">
        <v>66</v>
      </c>
      <c r="AQ65" s="9" t="s">
        <v>66</v>
      </c>
      <c r="AR65" s="11" t="s">
        <v>66</v>
      </c>
      <c r="AS65" s="11">
        <v>21</v>
      </c>
      <c r="AT65" s="9">
        <v>17</v>
      </c>
      <c r="AU65" s="9">
        <v>9.6999999999999993</v>
      </c>
      <c r="AV65" s="9">
        <v>90</v>
      </c>
      <c r="AW65" s="9">
        <v>58</v>
      </c>
      <c r="AX65" s="10">
        <v>0.14000000000000001</v>
      </c>
      <c r="AY65" s="4">
        <v>13</v>
      </c>
      <c r="AZ65" s="4">
        <v>31</v>
      </c>
      <c r="BA65" s="4">
        <v>4.5</v>
      </c>
      <c r="BB65" s="4">
        <v>19</v>
      </c>
      <c r="BC65" s="4">
        <v>5.0999999999999996</v>
      </c>
      <c r="BD65" s="4">
        <v>1.6</v>
      </c>
      <c r="BE65" s="4">
        <v>6.2</v>
      </c>
      <c r="BF65" s="4">
        <v>1.2</v>
      </c>
      <c r="BG65" s="4">
        <v>8.4</v>
      </c>
      <c r="BH65" s="4">
        <v>1.9</v>
      </c>
      <c r="BI65" s="4">
        <v>6</v>
      </c>
      <c r="BJ65" s="9">
        <v>0.91</v>
      </c>
      <c r="BK65" s="4">
        <v>6.6</v>
      </c>
      <c r="BL65" s="10">
        <v>0.93</v>
      </c>
      <c r="BN65" s="4">
        <v>2.1</v>
      </c>
      <c r="BO65" s="10">
        <v>0.62</v>
      </c>
      <c r="BP65" s="4">
        <v>10</v>
      </c>
      <c r="BQ65" s="4">
        <v>0.5</v>
      </c>
      <c r="BR65" s="9">
        <v>320</v>
      </c>
      <c r="BS65" s="4">
        <v>6.7</v>
      </c>
      <c r="CG65" s="11">
        <f>100*(I65/40.31)/(G65/0.89981/71.85+I65/40.31)</f>
        <v>17.425894328343741</v>
      </c>
      <c r="CH65" s="10">
        <f>(F65/133.96)/(J65/56.08+K65/61.98+L65/94.2)</f>
        <v>0.78599986261162136</v>
      </c>
      <c r="CI65" s="10">
        <f>L65/K65</f>
        <v>0.11904761904761904</v>
      </c>
      <c r="CJ65" s="4">
        <f>K65+L65</f>
        <v>4.7</v>
      </c>
      <c r="CK65" s="4">
        <f t="shared" si="110"/>
        <v>1.5517241379310345</v>
      </c>
      <c r="CL65" s="4">
        <f t="shared" si="111"/>
        <v>5.5172413793103452</v>
      </c>
      <c r="CM65" s="4">
        <f t="shared" si="112"/>
        <v>20</v>
      </c>
      <c r="CN65" s="4">
        <f t="shared" si="113"/>
        <v>1.3380641861654521</v>
      </c>
      <c r="CO65" s="4">
        <f t="shared" si="114"/>
        <v>1.9696969696969697</v>
      </c>
      <c r="CP65" s="4">
        <f t="shared" si="115"/>
        <v>1.2727272727272729</v>
      </c>
      <c r="CQ65" s="10">
        <f t="shared" si="116"/>
        <v>0.8673373543273325</v>
      </c>
      <c r="CR65" s="4">
        <f t="shared" si="120"/>
        <v>1.5714285714285714</v>
      </c>
      <c r="CS65" s="40">
        <f>(26400*D65/100-4800)/(12.4*D65/100-LN(M65/100)-3.97)-273.15</f>
        <v>848.35461334559784</v>
      </c>
      <c r="CT65" s="4">
        <f>D65*28.086/(28.086+15.999*2)+F65*26.982*2/(26.982*2+15.999*3)+G65*55.845*2/(55.845*2+15.999*3)+J65*40.078/(40.078+15.999)+I65*32.99*2/(22.99*2+15.999)+L65*39.098*2/(39.098*2+15.999)+O65*51.996*2/(51.996*2+15.999*3)+E65*47.867/(47.867+15.999*2)+H65*54.938/(54.938+15.999)+M65*30.974*2/(30.974*2+15.999*5)+P65*87.62/(87.62+15.999)+N65*137.328/(137.328+15.999)</f>
        <v>47.37017464580012</v>
      </c>
      <c r="CU65" s="4">
        <f>(K65*22.99*2/(22.99*2+15.999)+L65*39.098*2/(39.098*2+15.999)+2*J65*40.078/(40.078+15.999))/((F65*2*26.982/(26.982*2+15.999*3))*(D65*28.086/(28.086+15.999*2)))*CT65</f>
        <v>1.4451790028844442</v>
      </c>
      <c r="CV65" s="11">
        <f t="shared" si="117"/>
        <v>846.21293100090259</v>
      </c>
      <c r="CW65" s="11">
        <f t="shared" si="118"/>
        <v>808.79689627093342</v>
      </c>
      <c r="CX65" s="31"/>
      <c r="CY65" s="31"/>
      <c r="CZ65" s="32"/>
      <c r="DA65" s="32"/>
      <c r="DB65" s="32"/>
      <c r="DC65" s="32"/>
    </row>
    <row r="66" spans="1:107" s="2" customFormat="1" ht="14" customHeight="1">
      <c r="B66" s="3"/>
      <c r="Q66" s="69"/>
      <c r="R66" s="68"/>
      <c r="S66" s="69"/>
      <c r="T66" s="69"/>
      <c r="U66" s="68"/>
      <c r="V66" s="68"/>
      <c r="W66" s="68"/>
      <c r="X66" s="68"/>
      <c r="Y66" s="68"/>
      <c r="Z66" s="68"/>
      <c r="AA66" s="68"/>
      <c r="AB66" s="68"/>
      <c r="AC66" s="68"/>
      <c r="AG66" s="31"/>
      <c r="AH66" s="11">
        <f t="shared" si="107"/>
        <v>0</v>
      </c>
      <c r="AI66" s="11">
        <f t="shared" si="108"/>
        <v>0</v>
      </c>
      <c r="AJ66" s="11">
        <f t="shared" si="109"/>
        <v>0</v>
      </c>
      <c r="AR66" s="32"/>
      <c r="AS66" s="32"/>
      <c r="CG66" s="54"/>
      <c r="CH66" s="55"/>
      <c r="CI66" s="55"/>
      <c r="CJ66" s="56"/>
      <c r="CK66" s="56"/>
      <c r="CL66" s="56"/>
      <c r="CM66" s="56"/>
      <c r="CN66" s="56"/>
      <c r="CO66" s="56"/>
      <c r="CP66" s="56"/>
      <c r="CQ66" s="55"/>
      <c r="CR66" s="56"/>
      <c r="CS66" s="57"/>
      <c r="CT66" s="56"/>
      <c r="CU66" s="56"/>
      <c r="CV66" s="54"/>
      <c r="CW66" s="54"/>
    </row>
    <row r="67" spans="1:107">
      <c r="Q67" s="69"/>
      <c r="R67" s="68"/>
      <c r="S67" s="69"/>
      <c r="T67" s="69"/>
      <c r="U67" s="68"/>
      <c r="V67" s="68"/>
      <c r="W67" s="68"/>
      <c r="X67" s="68"/>
      <c r="Y67" s="68"/>
      <c r="Z67" s="68"/>
      <c r="AA67" s="68"/>
      <c r="AB67" s="68"/>
      <c r="AC67" s="68"/>
      <c r="CS67" s="41"/>
      <c r="CT67" s="41"/>
      <c r="CU67" s="41"/>
      <c r="CV67" s="41"/>
      <c r="CW67" s="41"/>
    </row>
    <row r="68" spans="1:107">
      <c r="Q68" s="69"/>
      <c r="R68" s="68"/>
      <c r="S68" s="69"/>
      <c r="T68" s="69"/>
      <c r="U68" s="68"/>
      <c r="V68" s="68"/>
      <c r="W68" s="68"/>
      <c r="X68" s="68"/>
      <c r="Y68" s="68"/>
      <c r="Z68" s="68"/>
      <c r="AA68" s="68"/>
      <c r="AB68" s="68"/>
      <c r="AC68" s="68"/>
      <c r="CS68" s="41"/>
      <c r="CT68" s="41"/>
      <c r="CU68" s="41"/>
      <c r="CV68" s="41"/>
      <c r="CW68" s="41"/>
    </row>
    <row r="69" spans="1:107">
      <c r="Q69" s="69"/>
      <c r="R69" s="68"/>
      <c r="S69" s="69"/>
      <c r="T69" s="69"/>
      <c r="U69" s="68"/>
      <c r="V69" s="68"/>
      <c r="W69" s="68"/>
      <c r="X69" s="68"/>
      <c r="Y69" s="68"/>
      <c r="Z69" s="68"/>
      <c r="AA69" s="68"/>
      <c r="AB69" s="68"/>
      <c r="AC69" s="68"/>
      <c r="CS69" s="41"/>
      <c r="CT69" s="41"/>
      <c r="CU69" s="41"/>
      <c r="CV69" s="41"/>
      <c r="CW69" s="41"/>
    </row>
    <row r="70" spans="1:107"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CS70" s="41"/>
      <c r="CT70" s="41"/>
      <c r="CU70" s="41"/>
      <c r="CV70" s="41"/>
      <c r="CW70" s="41"/>
    </row>
    <row r="71" spans="1:107" s="50" customFormat="1" ht="14">
      <c r="A71" s="34" t="s">
        <v>196</v>
      </c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CS71" s="51"/>
      <c r="CT71" s="51"/>
      <c r="CU71" s="51"/>
      <c r="CV71" s="51"/>
      <c r="CW71" s="51"/>
    </row>
    <row r="72" spans="1:107" s="50" customFormat="1" ht="14">
      <c r="A72" s="52" t="s">
        <v>195</v>
      </c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CS72" s="53"/>
      <c r="CV72" s="53"/>
      <c r="CW72" s="53"/>
    </row>
    <row r="73" spans="1:107" s="50" customFormat="1" ht="14">
      <c r="A73" s="52" t="s">
        <v>197</v>
      </c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CS73" s="53"/>
      <c r="CV73" s="53"/>
      <c r="CW73" s="53"/>
    </row>
    <row r="74" spans="1:107"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107"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107"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107"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107"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107"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107">
      <c r="Q80" s="10" t="e">
        <f t="shared" ref="Q80:Q89" si="121">100*D80/(AG80-AF80)</f>
        <v>#DIV/0!</v>
      </c>
      <c r="R80" s="10">
        <f t="shared" ref="R80:R89" si="122">100*E80/(AG$3-AF$3)</f>
        <v>0</v>
      </c>
      <c r="S80" s="10" t="e">
        <f t="shared" ref="S80:S89" si="123">100*F80/(AG80-AF80)</f>
        <v>#DIV/0!</v>
      </c>
      <c r="T80" s="10" t="e">
        <f t="shared" ref="T80:T89" si="124">100*G80/(AG80-AF80)</f>
        <v>#DIV/0!</v>
      </c>
      <c r="U80" s="10" t="e">
        <f t="shared" ref="U80:U89" si="125">100*H80/(AG80-AF80)</f>
        <v>#DIV/0!</v>
      </c>
      <c r="V80" s="10" t="e">
        <f t="shared" ref="V80:V89" si="126">100*I80/(AG80-AF80)</f>
        <v>#DIV/0!</v>
      </c>
      <c r="W80" s="10" t="e">
        <f t="shared" ref="W80:W89" si="127">100*J80/(AG80-AF80)</f>
        <v>#DIV/0!</v>
      </c>
      <c r="X80" s="10" t="e">
        <f t="shared" ref="X80:X89" si="128">100*K80/(AG80-AF80)</f>
        <v>#DIV/0!</v>
      </c>
      <c r="Y80" s="10" t="e">
        <f t="shared" ref="Y80:Y89" si="129">100*L80/(AG80-AF80)</f>
        <v>#DIV/0!</v>
      </c>
      <c r="Z80" s="10" t="e">
        <f t="shared" ref="Z80:Z89" si="130">100*M80/(AG80-AF80)</f>
        <v>#DIV/0!</v>
      </c>
      <c r="AA80" s="10" t="e">
        <f t="shared" ref="AA80:AA89" si="131">100*N80/(AG80-AF80)</f>
        <v>#DIV/0!</v>
      </c>
      <c r="AB80" s="10" t="e">
        <f t="shared" ref="AB80:AB89" si="132">100*O80/(AG80-AF80)</f>
        <v>#DIV/0!</v>
      </c>
      <c r="AC80" s="10" t="e">
        <f t="shared" ref="AC80:AC89" si="133">100*P80/(AG80-AF80)</f>
        <v>#DIV/0!</v>
      </c>
    </row>
    <row r="81" spans="17:29">
      <c r="Q81" s="10" t="e">
        <f t="shared" si="121"/>
        <v>#DIV/0!</v>
      </c>
      <c r="R81" s="10">
        <f t="shared" si="122"/>
        <v>0</v>
      </c>
      <c r="S81" s="10" t="e">
        <f t="shared" si="123"/>
        <v>#DIV/0!</v>
      </c>
      <c r="T81" s="10" t="e">
        <f t="shared" si="124"/>
        <v>#DIV/0!</v>
      </c>
      <c r="U81" s="10" t="e">
        <f t="shared" si="125"/>
        <v>#DIV/0!</v>
      </c>
      <c r="V81" s="10" t="e">
        <f t="shared" si="126"/>
        <v>#DIV/0!</v>
      </c>
      <c r="W81" s="10" t="e">
        <f t="shared" si="127"/>
        <v>#DIV/0!</v>
      </c>
      <c r="X81" s="10" t="e">
        <f t="shared" si="128"/>
        <v>#DIV/0!</v>
      </c>
      <c r="Y81" s="10" t="e">
        <f t="shared" si="129"/>
        <v>#DIV/0!</v>
      </c>
      <c r="Z81" s="10" t="e">
        <f t="shared" si="130"/>
        <v>#DIV/0!</v>
      </c>
      <c r="AA81" s="10" t="e">
        <f t="shared" si="131"/>
        <v>#DIV/0!</v>
      </c>
      <c r="AB81" s="10" t="e">
        <f t="shared" si="132"/>
        <v>#DIV/0!</v>
      </c>
      <c r="AC81" s="10" t="e">
        <f t="shared" si="133"/>
        <v>#DIV/0!</v>
      </c>
    </row>
    <row r="82" spans="17:29">
      <c r="Q82" s="10" t="e">
        <f t="shared" si="121"/>
        <v>#DIV/0!</v>
      </c>
      <c r="R82" s="10">
        <f t="shared" si="122"/>
        <v>0</v>
      </c>
      <c r="S82" s="10" t="e">
        <f t="shared" si="123"/>
        <v>#DIV/0!</v>
      </c>
      <c r="T82" s="10" t="e">
        <f t="shared" si="124"/>
        <v>#DIV/0!</v>
      </c>
      <c r="U82" s="10" t="e">
        <f t="shared" si="125"/>
        <v>#DIV/0!</v>
      </c>
      <c r="V82" s="10" t="e">
        <f t="shared" si="126"/>
        <v>#DIV/0!</v>
      </c>
      <c r="W82" s="10" t="e">
        <f t="shared" si="127"/>
        <v>#DIV/0!</v>
      </c>
      <c r="X82" s="10" t="e">
        <f t="shared" si="128"/>
        <v>#DIV/0!</v>
      </c>
      <c r="Y82" s="10" t="e">
        <f t="shared" si="129"/>
        <v>#DIV/0!</v>
      </c>
      <c r="Z82" s="10" t="e">
        <f t="shared" si="130"/>
        <v>#DIV/0!</v>
      </c>
      <c r="AA82" s="10" t="e">
        <f t="shared" si="131"/>
        <v>#DIV/0!</v>
      </c>
      <c r="AB82" s="10" t="e">
        <f t="shared" si="132"/>
        <v>#DIV/0!</v>
      </c>
      <c r="AC82" s="10" t="e">
        <f t="shared" si="133"/>
        <v>#DIV/0!</v>
      </c>
    </row>
    <row r="83" spans="17:29">
      <c r="Q83" s="10" t="e">
        <f t="shared" si="121"/>
        <v>#DIV/0!</v>
      </c>
      <c r="R83" s="10">
        <f t="shared" si="122"/>
        <v>0</v>
      </c>
      <c r="S83" s="10" t="e">
        <f t="shared" si="123"/>
        <v>#DIV/0!</v>
      </c>
      <c r="T83" s="10" t="e">
        <f t="shared" si="124"/>
        <v>#DIV/0!</v>
      </c>
      <c r="U83" s="10" t="e">
        <f t="shared" si="125"/>
        <v>#DIV/0!</v>
      </c>
      <c r="V83" s="10" t="e">
        <f t="shared" si="126"/>
        <v>#DIV/0!</v>
      </c>
      <c r="W83" s="10" t="e">
        <f t="shared" si="127"/>
        <v>#DIV/0!</v>
      </c>
      <c r="X83" s="10" t="e">
        <f t="shared" si="128"/>
        <v>#DIV/0!</v>
      </c>
      <c r="Y83" s="10" t="e">
        <f t="shared" si="129"/>
        <v>#DIV/0!</v>
      </c>
      <c r="Z83" s="10" t="e">
        <f t="shared" si="130"/>
        <v>#DIV/0!</v>
      </c>
      <c r="AA83" s="10" t="e">
        <f t="shared" si="131"/>
        <v>#DIV/0!</v>
      </c>
      <c r="AB83" s="10" t="e">
        <f t="shared" si="132"/>
        <v>#DIV/0!</v>
      </c>
      <c r="AC83" s="10" t="e">
        <f t="shared" si="133"/>
        <v>#DIV/0!</v>
      </c>
    </row>
    <row r="84" spans="17:29">
      <c r="Q84" s="10" t="e">
        <f t="shared" si="121"/>
        <v>#DIV/0!</v>
      </c>
      <c r="R84" s="10">
        <f t="shared" si="122"/>
        <v>0</v>
      </c>
      <c r="S84" s="10" t="e">
        <f t="shared" si="123"/>
        <v>#DIV/0!</v>
      </c>
      <c r="T84" s="10" t="e">
        <f t="shared" si="124"/>
        <v>#DIV/0!</v>
      </c>
      <c r="U84" s="10" t="e">
        <f t="shared" si="125"/>
        <v>#DIV/0!</v>
      </c>
      <c r="V84" s="10" t="e">
        <f t="shared" si="126"/>
        <v>#DIV/0!</v>
      </c>
      <c r="W84" s="10" t="e">
        <f t="shared" si="127"/>
        <v>#DIV/0!</v>
      </c>
      <c r="X84" s="10" t="e">
        <f t="shared" si="128"/>
        <v>#DIV/0!</v>
      </c>
      <c r="Y84" s="10" t="e">
        <f t="shared" si="129"/>
        <v>#DIV/0!</v>
      </c>
      <c r="Z84" s="10" t="e">
        <f t="shared" si="130"/>
        <v>#DIV/0!</v>
      </c>
      <c r="AA84" s="10" t="e">
        <f t="shared" si="131"/>
        <v>#DIV/0!</v>
      </c>
      <c r="AB84" s="10" t="e">
        <f t="shared" si="132"/>
        <v>#DIV/0!</v>
      </c>
      <c r="AC84" s="10" t="e">
        <f t="shared" si="133"/>
        <v>#DIV/0!</v>
      </c>
    </row>
    <row r="85" spans="17:29">
      <c r="Q85" s="10" t="e">
        <f t="shared" si="121"/>
        <v>#DIV/0!</v>
      </c>
      <c r="R85" s="10">
        <f t="shared" si="122"/>
        <v>0</v>
      </c>
      <c r="S85" s="10" t="e">
        <f t="shared" si="123"/>
        <v>#DIV/0!</v>
      </c>
      <c r="T85" s="10" t="e">
        <f t="shared" si="124"/>
        <v>#DIV/0!</v>
      </c>
      <c r="U85" s="10" t="e">
        <f t="shared" si="125"/>
        <v>#DIV/0!</v>
      </c>
      <c r="V85" s="10" t="e">
        <f t="shared" si="126"/>
        <v>#DIV/0!</v>
      </c>
      <c r="W85" s="10" t="e">
        <f t="shared" si="127"/>
        <v>#DIV/0!</v>
      </c>
      <c r="X85" s="10" t="e">
        <f t="shared" si="128"/>
        <v>#DIV/0!</v>
      </c>
      <c r="Y85" s="10" t="e">
        <f t="shared" si="129"/>
        <v>#DIV/0!</v>
      </c>
      <c r="Z85" s="10" t="e">
        <f t="shared" si="130"/>
        <v>#DIV/0!</v>
      </c>
      <c r="AA85" s="10" t="e">
        <f t="shared" si="131"/>
        <v>#DIV/0!</v>
      </c>
      <c r="AB85" s="10" t="e">
        <f t="shared" si="132"/>
        <v>#DIV/0!</v>
      </c>
      <c r="AC85" s="10" t="e">
        <f t="shared" si="133"/>
        <v>#DIV/0!</v>
      </c>
    </row>
    <row r="86" spans="17:29">
      <c r="Q86" s="10" t="e">
        <f t="shared" si="121"/>
        <v>#DIV/0!</v>
      </c>
      <c r="R86" s="10">
        <f t="shared" si="122"/>
        <v>0</v>
      </c>
      <c r="S86" s="10" t="e">
        <f t="shared" si="123"/>
        <v>#DIV/0!</v>
      </c>
      <c r="T86" s="10" t="e">
        <f t="shared" si="124"/>
        <v>#DIV/0!</v>
      </c>
      <c r="U86" s="10" t="e">
        <f t="shared" si="125"/>
        <v>#DIV/0!</v>
      </c>
      <c r="V86" s="10" t="e">
        <f t="shared" si="126"/>
        <v>#DIV/0!</v>
      </c>
      <c r="W86" s="10" t="e">
        <f t="shared" si="127"/>
        <v>#DIV/0!</v>
      </c>
      <c r="X86" s="10" t="e">
        <f t="shared" si="128"/>
        <v>#DIV/0!</v>
      </c>
      <c r="Y86" s="10" t="e">
        <f t="shared" si="129"/>
        <v>#DIV/0!</v>
      </c>
      <c r="Z86" s="10" t="e">
        <f t="shared" si="130"/>
        <v>#DIV/0!</v>
      </c>
      <c r="AA86" s="10" t="e">
        <f t="shared" si="131"/>
        <v>#DIV/0!</v>
      </c>
      <c r="AB86" s="10" t="e">
        <f t="shared" si="132"/>
        <v>#DIV/0!</v>
      </c>
      <c r="AC86" s="10" t="e">
        <f t="shared" si="133"/>
        <v>#DIV/0!</v>
      </c>
    </row>
    <row r="87" spans="17:29">
      <c r="Q87" s="10" t="e">
        <f t="shared" si="121"/>
        <v>#DIV/0!</v>
      </c>
      <c r="R87" s="10">
        <f t="shared" si="122"/>
        <v>0</v>
      </c>
      <c r="S87" s="10" t="e">
        <f t="shared" si="123"/>
        <v>#DIV/0!</v>
      </c>
      <c r="T87" s="10" t="e">
        <f t="shared" si="124"/>
        <v>#DIV/0!</v>
      </c>
      <c r="U87" s="10" t="e">
        <f t="shared" si="125"/>
        <v>#DIV/0!</v>
      </c>
      <c r="V87" s="10" t="e">
        <f t="shared" si="126"/>
        <v>#DIV/0!</v>
      </c>
      <c r="W87" s="10" t="e">
        <f t="shared" si="127"/>
        <v>#DIV/0!</v>
      </c>
      <c r="X87" s="10" t="e">
        <f t="shared" si="128"/>
        <v>#DIV/0!</v>
      </c>
      <c r="Y87" s="10" t="e">
        <f t="shared" si="129"/>
        <v>#DIV/0!</v>
      </c>
      <c r="Z87" s="10" t="e">
        <f t="shared" si="130"/>
        <v>#DIV/0!</v>
      </c>
      <c r="AA87" s="10" t="e">
        <f t="shared" si="131"/>
        <v>#DIV/0!</v>
      </c>
      <c r="AB87" s="10" t="e">
        <f t="shared" si="132"/>
        <v>#DIV/0!</v>
      </c>
      <c r="AC87" s="10" t="e">
        <f t="shared" si="133"/>
        <v>#DIV/0!</v>
      </c>
    </row>
    <row r="88" spans="17:29">
      <c r="Q88" s="10" t="e">
        <f t="shared" si="121"/>
        <v>#DIV/0!</v>
      </c>
      <c r="R88" s="10">
        <f t="shared" si="122"/>
        <v>0</v>
      </c>
      <c r="S88" s="10" t="e">
        <f t="shared" si="123"/>
        <v>#DIV/0!</v>
      </c>
      <c r="T88" s="10" t="e">
        <f t="shared" si="124"/>
        <v>#DIV/0!</v>
      </c>
      <c r="U88" s="10" t="e">
        <f t="shared" si="125"/>
        <v>#DIV/0!</v>
      </c>
      <c r="V88" s="10" t="e">
        <f t="shared" si="126"/>
        <v>#DIV/0!</v>
      </c>
      <c r="W88" s="10" t="e">
        <f t="shared" si="127"/>
        <v>#DIV/0!</v>
      </c>
      <c r="X88" s="10" t="e">
        <f t="shared" si="128"/>
        <v>#DIV/0!</v>
      </c>
      <c r="Y88" s="10" t="e">
        <f t="shared" si="129"/>
        <v>#DIV/0!</v>
      </c>
      <c r="Z88" s="10" t="e">
        <f t="shared" si="130"/>
        <v>#DIV/0!</v>
      </c>
      <c r="AA88" s="10" t="e">
        <f t="shared" si="131"/>
        <v>#DIV/0!</v>
      </c>
      <c r="AB88" s="10" t="e">
        <f t="shared" si="132"/>
        <v>#DIV/0!</v>
      </c>
      <c r="AC88" s="10" t="e">
        <f t="shared" si="133"/>
        <v>#DIV/0!</v>
      </c>
    </row>
    <row r="89" spans="17:29">
      <c r="Q89" s="10" t="e">
        <f t="shared" si="121"/>
        <v>#DIV/0!</v>
      </c>
      <c r="R89" s="10">
        <f t="shared" si="122"/>
        <v>0</v>
      </c>
      <c r="S89" s="10" t="e">
        <f t="shared" si="123"/>
        <v>#DIV/0!</v>
      </c>
      <c r="T89" s="10" t="e">
        <f t="shared" si="124"/>
        <v>#DIV/0!</v>
      </c>
      <c r="U89" s="10" t="e">
        <f t="shared" si="125"/>
        <v>#DIV/0!</v>
      </c>
      <c r="V89" s="10" t="e">
        <f t="shared" si="126"/>
        <v>#DIV/0!</v>
      </c>
      <c r="W89" s="10" t="e">
        <f t="shared" si="127"/>
        <v>#DIV/0!</v>
      </c>
      <c r="X89" s="10" t="e">
        <f t="shared" si="128"/>
        <v>#DIV/0!</v>
      </c>
      <c r="Y89" s="10" t="e">
        <f t="shared" si="129"/>
        <v>#DIV/0!</v>
      </c>
      <c r="Z89" s="10" t="e">
        <f t="shared" si="130"/>
        <v>#DIV/0!</v>
      </c>
      <c r="AA89" s="10" t="e">
        <f t="shared" si="131"/>
        <v>#DIV/0!</v>
      </c>
      <c r="AB89" s="10" t="e">
        <f t="shared" si="132"/>
        <v>#DIV/0!</v>
      </c>
      <c r="AC89" s="10" t="e">
        <f t="shared" si="133"/>
        <v>#DIV/0!</v>
      </c>
    </row>
    <row r="94" spans="17:29"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</row>
    <row r="95" spans="17:29"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</row>
    <row r="96" spans="17:29"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</row>
    <row r="97" spans="17:29"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</row>
  </sheetData>
  <autoFilter ref="AF2:AF66" xr:uid="{B5D5FBF8-3F19-BF46-9265-4D053AD90FE7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09BC3-683D-604B-9D35-D8E485F880D1}">
  <dimension ref="A1:CW593"/>
  <sheetViews>
    <sheetView workbookViewId="0">
      <selection activeCell="A589" sqref="A589"/>
    </sheetView>
  </sheetViews>
  <sheetFormatPr baseColWidth="10" defaultRowHeight="13"/>
  <cols>
    <col min="1" max="2" width="14.1640625" style="2" customWidth="1"/>
    <col min="3" max="3" width="11" style="2" customWidth="1"/>
    <col min="4" max="4" width="17.33203125" style="2" bestFit="1" customWidth="1"/>
    <col min="5" max="5" width="12.5" style="88" customWidth="1"/>
    <col min="6" max="6" width="10.1640625" style="88" customWidth="1"/>
    <col min="7" max="7" width="11.6640625" style="2" customWidth="1"/>
    <col min="8" max="12" width="10.83203125" style="2"/>
    <col min="13" max="13" width="12.5" style="2" customWidth="1"/>
    <col min="14" max="19" width="10.83203125" style="2"/>
    <col min="20" max="70" width="8.5" style="2" customWidth="1"/>
    <col min="71" max="71" width="2.1640625" style="2" customWidth="1"/>
    <col min="72" max="81" width="10.83203125" style="2"/>
    <col min="82" max="83" width="12.1640625" style="2" bestFit="1" customWidth="1"/>
    <col min="84" max="84" width="7.83203125" style="2" customWidth="1"/>
    <col min="85" max="86" width="10.83203125" style="2"/>
    <col min="87" max="87" width="12.5" style="2" customWidth="1"/>
    <col min="88" max="16384" width="10.83203125" style="2"/>
  </cols>
  <sheetData>
    <row r="1" spans="1:101" s="85" customFormat="1" ht="14">
      <c r="A1" s="44" t="s">
        <v>1347</v>
      </c>
      <c r="E1" s="86"/>
      <c r="F1" s="86"/>
    </row>
    <row r="2" spans="1:101" ht="15" customHeight="1">
      <c r="E2" s="87" t="s">
        <v>216</v>
      </c>
      <c r="T2" s="29" t="s">
        <v>217</v>
      </c>
      <c r="CJ2" s="29" t="s">
        <v>218</v>
      </c>
    </row>
    <row r="3" spans="1:101" s="90" customFormat="1" ht="16" customHeight="1">
      <c r="A3" s="89" t="s">
        <v>219</v>
      </c>
      <c r="B3" s="89" t="s">
        <v>220</v>
      </c>
      <c r="C3" s="89" t="s">
        <v>221</v>
      </c>
      <c r="D3" s="90" t="s">
        <v>222</v>
      </c>
      <c r="E3" s="90" t="s">
        <v>223</v>
      </c>
      <c r="F3" s="90" t="s">
        <v>224</v>
      </c>
      <c r="G3" s="90" t="s">
        <v>225</v>
      </c>
      <c r="H3" s="90" t="s">
        <v>224</v>
      </c>
      <c r="I3" s="90" t="s">
        <v>226</v>
      </c>
      <c r="J3" s="90" t="s">
        <v>224</v>
      </c>
      <c r="K3" s="90" t="s">
        <v>227</v>
      </c>
      <c r="M3" s="90" t="s">
        <v>228</v>
      </c>
      <c r="N3" s="90" t="s">
        <v>224</v>
      </c>
      <c r="O3" s="90" t="s">
        <v>223</v>
      </c>
      <c r="P3" s="90" t="s">
        <v>224</v>
      </c>
      <c r="Q3" s="90" t="s">
        <v>229</v>
      </c>
      <c r="R3" s="90" t="s">
        <v>230</v>
      </c>
      <c r="T3" s="90" t="s">
        <v>75</v>
      </c>
      <c r="U3" s="90" t="s">
        <v>224</v>
      </c>
      <c r="V3" s="90" t="s">
        <v>24</v>
      </c>
      <c r="W3" s="90" t="s">
        <v>224</v>
      </c>
      <c r="X3" s="90" t="s">
        <v>8</v>
      </c>
      <c r="Y3" s="90" t="s">
        <v>224</v>
      </c>
      <c r="Z3" s="90" t="s">
        <v>14</v>
      </c>
      <c r="AA3" s="90" t="s">
        <v>224</v>
      </c>
      <c r="AB3" s="90" t="s">
        <v>13</v>
      </c>
      <c r="AC3" s="90" t="s">
        <v>224</v>
      </c>
      <c r="AD3" s="90" t="s">
        <v>17</v>
      </c>
      <c r="AE3" s="90" t="s">
        <v>224</v>
      </c>
      <c r="AF3" s="90" t="s">
        <v>39</v>
      </c>
      <c r="AG3" s="90" t="s">
        <v>224</v>
      </c>
      <c r="AH3" s="90" t="s">
        <v>40</v>
      </c>
      <c r="AI3" s="90" t="s">
        <v>224</v>
      </c>
      <c r="AJ3" s="90" t="s">
        <v>41</v>
      </c>
      <c r="AK3" s="90" t="s">
        <v>224</v>
      </c>
      <c r="AL3" s="90" t="s">
        <v>42</v>
      </c>
      <c r="AM3" s="90" t="s">
        <v>224</v>
      </c>
      <c r="AN3" s="90" t="s">
        <v>43</v>
      </c>
      <c r="AO3" s="90" t="s">
        <v>224</v>
      </c>
      <c r="AP3" s="90" t="s">
        <v>44</v>
      </c>
      <c r="AQ3" s="90" t="s">
        <v>224</v>
      </c>
      <c r="AR3" s="90" t="s">
        <v>45</v>
      </c>
      <c r="AS3" s="90" t="s">
        <v>224</v>
      </c>
      <c r="AT3" s="90" t="s">
        <v>46</v>
      </c>
      <c r="AU3" s="90" t="s">
        <v>224</v>
      </c>
      <c r="AV3" s="90" t="s">
        <v>47</v>
      </c>
      <c r="AW3" s="90" t="s">
        <v>224</v>
      </c>
      <c r="AX3" s="90" t="s">
        <v>48</v>
      </c>
      <c r="AY3" s="90" t="s">
        <v>224</v>
      </c>
      <c r="AZ3" s="90" t="s">
        <v>49</v>
      </c>
      <c r="BA3" s="90" t="s">
        <v>224</v>
      </c>
      <c r="BB3" s="90" t="s">
        <v>50</v>
      </c>
      <c r="BC3" s="90" t="s">
        <v>224</v>
      </c>
      <c r="BD3" s="90" t="s">
        <v>51</v>
      </c>
      <c r="BE3" s="90" t="s">
        <v>224</v>
      </c>
      <c r="BF3" s="90" t="s">
        <v>52</v>
      </c>
      <c r="BG3" s="90" t="s">
        <v>224</v>
      </c>
      <c r="BI3" s="90" t="s">
        <v>74</v>
      </c>
      <c r="BJ3" s="90" t="s">
        <v>224</v>
      </c>
      <c r="BK3" s="90" t="s">
        <v>16</v>
      </c>
      <c r="BL3" s="90" t="s">
        <v>224</v>
      </c>
      <c r="BM3" s="90" t="s">
        <v>15</v>
      </c>
      <c r="BN3" s="90" t="s">
        <v>224</v>
      </c>
      <c r="BO3" s="90" t="s">
        <v>18</v>
      </c>
      <c r="BP3" s="90" t="s">
        <v>224</v>
      </c>
      <c r="BQ3" s="90" t="s">
        <v>19</v>
      </c>
      <c r="BR3" s="90" t="s">
        <v>224</v>
      </c>
      <c r="BT3" s="90" t="s">
        <v>231</v>
      </c>
      <c r="BU3" s="90" t="s">
        <v>232</v>
      </c>
      <c r="BV3" s="90" t="s">
        <v>233</v>
      </c>
      <c r="BW3" s="90" t="s">
        <v>234</v>
      </c>
      <c r="BX3" s="90" t="s">
        <v>235</v>
      </c>
      <c r="BY3" s="90" t="s">
        <v>232</v>
      </c>
      <c r="BZ3" s="90" t="s">
        <v>236</v>
      </c>
      <c r="CA3" s="90" t="s">
        <v>78</v>
      </c>
      <c r="CB3" s="90" t="s">
        <v>237</v>
      </c>
      <c r="CC3" s="90" t="s">
        <v>224</v>
      </c>
      <c r="CD3" s="89" t="s">
        <v>238</v>
      </c>
      <c r="CE3" s="89" t="s">
        <v>239</v>
      </c>
      <c r="CF3" s="90" t="s">
        <v>240</v>
      </c>
      <c r="CG3" s="90" t="s">
        <v>241</v>
      </c>
      <c r="CH3" s="90" t="s">
        <v>240</v>
      </c>
      <c r="CJ3" s="90" t="s">
        <v>39</v>
      </c>
      <c r="CK3" s="90" t="s">
        <v>40</v>
      </c>
      <c r="CL3" s="90" t="s">
        <v>41</v>
      </c>
      <c r="CM3" s="90" t="s">
        <v>42</v>
      </c>
      <c r="CN3" s="90" t="s">
        <v>43</v>
      </c>
      <c r="CO3" s="90" t="s">
        <v>44</v>
      </c>
      <c r="CP3" s="90" t="s">
        <v>45</v>
      </c>
      <c r="CQ3" s="90" t="s">
        <v>46</v>
      </c>
      <c r="CR3" s="90" t="s">
        <v>47</v>
      </c>
      <c r="CS3" s="90" t="s">
        <v>48</v>
      </c>
      <c r="CT3" s="90" t="s">
        <v>49</v>
      </c>
      <c r="CU3" s="90" t="s">
        <v>50</v>
      </c>
      <c r="CV3" s="90" t="s">
        <v>51</v>
      </c>
      <c r="CW3" s="90" t="s">
        <v>52</v>
      </c>
    </row>
    <row r="4" spans="1:101" s="90" customFormat="1" ht="28">
      <c r="A4" s="89"/>
      <c r="B4" s="89"/>
      <c r="C4" s="89"/>
      <c r="CD4" s="89"/>
      <c r="CE4" s="89"/>
      <c r="CF4" s="89"/>
      <c r="CI4" s="90" t="s">
        <v>242</v>
      </c>
      <c r="CJ4" s="91">
        <v>0.23699999999999999</v>
      </c>
      <c r="CK4" s="91">
        <v>0.61199999999999999</v>
      </c>
      <c r="CL4" s="91">
        <v>9.5000000000000001E-2</v>
      </c>
      <c r="CM4" s="91">
        <v>0.46700000000000003</v>
      </c>
      <c r="CN4" s="91">
        <v>0.153</v>
      </c>
      <c r="CO4" s="91">
        <v>5.8000000000000003E-2</v>
      </c>
      <c r="CP4" s="91">
        <v>0.20549999999999999</v>
      </c>
      <c r="CQ4" s="91">
        <v>3.7400000000000003E-2</v>
      </c>
      <c r="CR4" s="91">
        <v>0.254</v>
      </c>
      <c r="CS4" s="91">
        <v>5.6599999999999998E-2</v>
      </c>
      <c r="CT4" s="91">
        <v>0.16550000000000001</v>
      </c>
      <c r="CU4" s="91">
        <v>2.5499999999999998E-2</v>
      </c>
      <c r="CV4" s="91">
        <v>0.17</v>
      </c>
      <c r="CW4" s="91">
        <v>2.5399999999999999E-2</v>
      </c>
    </row>
    <row r="5" spans="1:101" s="98" customFormat="1">
      <c r="A5" s="3" t="s">
        <v>243</v>
      </c>
      <c r="B5" s="92" t="s">
        <v>244</v>
      </c>
      <c r="C5" s="3"/>
      <c r="D5" s="93">
        <v>11.032</v>
      </c>
      <c r="E5" s="94">
        <v>0.18959000000000001</v>
      </c>
      <c r="F5" s="94">
        <v>9.7000000000000005E-4</v>
      </c>
      <c r="G5" s="95">
        <v>13.852</v>
      </c>
      <c r="H5" s="96">
        <v>0.41</v>
      </c>
      <c r="I5" s="97">
        <v>0.53049999999999997</v>
      </c>
      <c r="J5" s="95">
        <v>1.4E-2</v>
      </c>
      <c r="K5" s="96">
        <v>0.73236000000000001</v>
      </c>
      <c r="M5" s="99">
        <v>2743</v>
      </c>
      <c r="N5" s="98">
        <v>61</v>
      </c>
      <c r="O5" s="99">
        <v>2738.4</v>
      </c>
      <c r="P5" s="98">
        <v>3.6</v>
      </c>
      <c r="Q5" s="93">
        <v>-0.18</v>
      </c>
      <c r="R5" s="97">
        <v>1.2800000000000001E-3</v>
      </c>
      <c r="T5" s="98">
        <v>450</v>
      </c>
      <c r="U5" s="98">
        <v>140</v>
      </c>
      <c r="V5" s="98">
        <v>1.1000000000000001</v>
      </c>
      <c r="W5" s="98">
        <v>1.6</v>
      </c>
      <c r="X5" s="98">
        <v>0.32</v>
      </c>
      <c r="Y5" s="98">
        <v>0.19</v>
      </c>
      <c r="Z5" s="98">
        <v>2.0299999999999998</v>
      </c>
      <c r="AA5" s="98">
        <v>0.61</v>
      </c>
      <c r="AB5" s="98">
        <v>1.29</v>
      </c>
      <c r="AC5" s="98">
        <v>0.47</v>
      </c>
      <c r="AD5" s="98">
        <v>2820</v>
      </c>
      <c r="AE5" s="98">
        <v>350</v>
      </c>
      <c r="AF5" s="95">
        <v>1.7999999999999999E-2</v>
      </c>
      <c r="AG5" s="97">
        <v>1.2999999999999999E-2</v>
      </c>
      <c r="AH5" s="96">
        <v>24.9</v>
      </c>
      <c r="AI5" s="96">
        <v>2.6</v>
      </c>
      <c r="AJ5" s="95">
        <v>0.57999999999999996</v>
      </c>
      <c r="AK5" s="95">
        <v>0.11</v>
      </c>
      <c r="AL5" s="96">
        <v>8.6999999999999993</v>
      </c>
      <c r="AM5" s="96">
        <v>1.4</v>
      </c>
      <c r="AN5" s="96">
        <v>17.600000000000001</v>
      </c>
      <c r="AO5" s="96">
        <v>3.2</v>
      </c>
      <c r="AP5" s="96">
        <v>1.85</v>
      </c>
      <c r="AQ5" s="96">
        <v>0.45</v>
      </c>
      <c r="AR5" s="96">
        <v>81</v>
      </c>
      <c r="AS5" s="93">
        <v>10</v>
      </c>
      <c r="AT5" s="96">
        <v>24.1</v>
      </c>
      <c r="AU5" s="96">
        <v>3</v>
      </c>
      <c r="AV5" s="99">
        <v>267</v>
      </c>
      <c r="AW5" s="98">
        <v>28</v>
      </c>
      <c r="AX5" s="98">
        <v>91.4</v>
      </c>
      <c r="AY5" s="98">
        <v>9.1999999999999993</v>
      </c>
      <c r="AZ5" s="98">
        <v>424</v>
      </c>
      <c r="BA5" s="98">
        <v>51</v>
      </c>
      <c r="BB5" s="98">
        <v>80</v>
      </c>
      <c r="BC5" s="98">
        <v>10</v>
      </c>
      <c r="BD5" s="98">
        <v>639</v>
      </c>
      <c r="BE5" s="98">
        <v>85</v>
      </c>
      <c r="BF5" s="98">
        <v>116</v>
      </c>
      <c r="BG5" s="98">
        <v>14</v>
      </c>
      <c r="BI5" s="93">
        <v>9.4</v>
      </c>
      <c r="BJ5" s="98">
        <v>3.6</v>
      </c>
      <c r="BK5" s="98">
        <v>533000</v>
      </c>
      <c r="BL5" s="98">
        <v>57000</v>
      </c>
      <c r="BM5" s="98">
        <v>7820</v>
      </c>
      <c r="BN5" s="98">
        <v>860</v>
      </c>
      <c r="BO5" s="99">
        <v>185</v>
      </c>
      <c r="BP5" s="98">
        <v>14</v>
      </c>
      <c r="BQ5" s="99">
        <v>170</v>
      </c>
      <c r="BR5" s="98">
        <v>13</v>
      </c>
      <c r="BT5" s="95">
        <f t="shared" ref="BT5:BT39" si="0">BQ5/BD5</f>
        <v>0.26604068857589985</v>
      </c>
      <c r="BU5" s="96">
        <f t="shared" ref="BU5:BU39" si="1">AH5/AL5</f>
        <v>2.8620689655172415</v>
      </c>
      <c r="BV5" s="96">
        <f t="shared" ref="BV5:BV39" si="2">BK5/BM5</f>
        <v>68.15856777493606</v>
      </c>
      <c r="BW5" s="96">
        <f t="shared" ref="BW5:BW39" si="3">BO5/BQ5</f>
        <v>1.088235294117647</v>
      </c>
      <c r="BX5" s="99">
        <f>CK5/SQRT(CJ5*CL5)</f>
        <v>59.749414140880099</v>
      </c>
      <c r="BY5" s="96">
        <f t="shared" ref="BY5:BY39" si="4">AH5/AL5</f>
        <v>2.8620689655172415</v>
      </c>
      <c r="BZ5" s="97">
        <f t="shared" ref="BZ5:BZ39" si="5">(AH5/AL5)/AD5</f>
        <v>1.0149180728784544E-3</v>
      </c>
      <c r="CA5" s="95">
        <f t="shared" ref="CA5:CA39" si="6">CO5/SQRT(CN5*CP5)</f>
        <v>0.14979472499806668</v>
      </c>
      <c r="CB5" s="99">
        <f>BQ5*(EXP(0.0001551*2740)+0.0072*EXP(2740*0.0009849))</f>
        <v>278.211395080427</v>
      </c>
      <c r="CC5" s="99">
        <f>BR5*(EXP(0.0001551*2740)+0.0072*EXP(2740*0.0009849))</f>
        <v>21.274989035562065</v>
      </c>
      <c r="CD5" s="100">
        <f>4800/(5.711-LOG(BI5)-LOG(1)+LOG(0.75))-273.15</f>
        <v>767.40263182661749</v>
      </c>
      <c r="CE5" s="100">
        <f>4800/(5.711-LOG(BI5)-LOG(1)+LOG(0.5))-273.15</f>
        <v>808.70052271995098</v>
      </c>
      <c r="CF5" s="100">
        <f>((((4800^2)*(BI5^2)*(0.072^2)+(4800^2)*(BJ5^2)+(BI5^2)*(86^2)*((5.711-LOG(BI5))^2))/((BI5^2)*(5.711-LOG(BI5))^4))^(1/2))/2</f>
        <v>42.641104802644925</v>
      </c>
      <c r="CG5" s="96">
        <f>2.28+3.99*LOG(AH5/((CB5*BI5)^(1/2)))</f>
        <v>1.0329173735369062</v>
      </c>
      <c r="CH5" s="96">
        <f>(4*0.1^2+4*0.12^2*LOG((AH5/(CB5*BI5)^0.5)^2)+3.99*(BJ5/2)^2/(BI5^2)+3.99^2*(CC5/2)^2/(CB5^2)+4*3.99*(AI5/2)^2/(AH5^2))^(1/2)</f>
        <v>0.46591564701734633</v>
      </c>
      <c r="CJ5" s="95">
        <f>AF5/CJ$4</f>
        <v>7.5949367088607597E-2</v>
      </c>
      <c r="CK5" s="93">
        <f t="shared" ref="CK5:CK39" si="7">AH5/CK$4</f>
        <v>40.686274509803923</v>
      </c>
      <c r="CL5" s="93">
        <f t="shared" ref="CL5:CL39" si="8">AJ5/CL$4</f>
        <v>6.1052631578947363</v>
      </c>
      <c r="CM5" s="93">
        <f t="shared" ref="CM5:CM39" si="9">AL5/CM$4</f>
        <v>18.62955032119914</v>
      </c>
      <c r="CN5" s="93">
        <f t="shared" ref="CN5:CN39" si="10">AN5/CN$4</f>
        <v>115.03267973856211</v>
      </c>
      <c r="CO5" s="93">
        <f t="shared" ref="CO5:CO39" si="11">AP5/CO$4</f>
        <v>31.896551724137932</v>
      </c>
      <c r="CP5" s="93">
        <f t="shared" ref="CP5:CP39" si="12">AR5/CP$4</f>
        <v>394.16058394160586</v>
      </c>
      <c r="CQ5" s="93">
        <f t="shared" ref="CQ5:CQ39" si="13">AT5/CQ$4</f>
        <v>644.38502673796791</v>
      </c>
      <c r="CR5" s="93">
        <f t="shared" ref="CR5:CR39" si="14">AV5/CR$4</f>
        <v>1051.1811023622047</v>
      </c>
      <c r="CS5" s="93">
        <f t="shared" ref="CS5:CS39" si="15">AX5/CS$4</f>
        <v>1614.8409893992934</v>
      </c>
      <c r="CT5" s="93">
        <f t="shared" ref="CT5:CT39" si="16">AZ5/CT$4</f>
        <v>2561.9335347432025</v>
      </c>
      <c r="CU5" s="93">
        <f t="shared" ref="CU5:CU39" si="17">BB5/CU$4</f>
        <v>3137.2549019607845</v>
      </c>
      <c r="CV5" s="93">
        <f t="shared" ref="CV5:CV39" si="18">BD5/CV$4</f>
        <v>3758.8235294117644</v>
      </c>
      <c r="CW5" s="93">
        <f t="shared" ref="CW5:CW39" si="19">BF5/CW$4</f>
        <v>4566.929133858268</v>
      </c>
    </row>
    <row r="6" spans="1:101" s="98" customFormat="1">
      <c r="A6" s="3" t="s">
        <v>245</v>
      </c>
      <c r="B6" s="92" t="s">
        <v>244</v>
      </c>
      <c r="C6" s="3"/>
      <c r="D6" s="93">
        <v>11.007999999999999</v>
      </c>
      <c r="E6" s="94">
        <v>0.18959000000000001</v>
      </c>
      <c r="F6" s="94">
        <v>7.2999999999999996E-4</v>
      </c>
      <c r="G6" s="95">
        <v>13.775</v>
      </c>
      <c r="H6" s="96">
        <v>0.41</v>
      </c>
      <c r="I6" s="97">
        <v>0.52759999999999996</v>
      </c>
      <c r="J6" s="95">
        <v>1.4E-2</v>
      </c>
      <c r="K6" s="96">
        <v>0.83684000000000003</v>
      </c>
      <c r="M6" s="99">
        <v>2731</v>
      </c>
      <c r="N6" s="98">
        <v>61</v>
      </c>
      <c r="O6" s="99">
        <v>2738.6</v>
      </c>
      <c r="P6" s="98">
        <v>2.6</v>
      </c>
      <c r="Q6" s="93">
        <v>0.26</v>
      </c>
      <c r="R6" s="97">
        <v>2.2000000000000001E-3</v>
      </c>
      <c r="T6" s="98">
        <v>400</v>
      </c>
      <c r="U6" s="98">
        <v>180</v>
      </c>
      <c r="V6" s="98">
        <v>1.3</v>
      </c>
      <c r="W6" s="98">
        <v>1.7</v>
      </c>
      <c r="X6" s="98">
        <v>0.23</v>
      </c>
      <c r="Y6" s="98">
        <v>0.23</v>
      </c>
      <c r="Z6" s="98">
        <v>2.7</v>
      </c>
      <c r="AA6" s="98">
        <v>1</v>
      </c>
      <c r="AB6" s="98">
        <v>1.1000000000000001</v>
      </c>
      <c r="AC6" s="98">
        <v>0.37</v>
      </c>
      <c r="AD6" s="98">
        <v>1310</v>
      </c>
      <c r="AE6" s="98">
        <v>190</v>
      </c>
      <c r="AF6" s="95">
        <v>1.6000000000000001E-3</v>
      </c>
      <c r="AG6" s="97">
        <v>5.3E-3</v>
      </c>
      <c r="AH6" s="96">
        <v>24.6</v>
      </c>
      <c r="AI6" s="96">
        <v>4.5999999999999996</v>
      </c>
      <c r="AJ6" s="95">
        <v>8.4000000000000005E-2</v>
      </c>
      <c r="AK6" s="95">
        <v>0.04</v>
      </c>
      <c r="AL6" s="96">
        <v>2.12</v>
      </c>
      <c r="AM6" s="96">
        <v>0.71</v>
      </c>
      <c r="AN6" s="96">
        <v>4.3</v>
      </c>
      <c r="AO6" s="96">
        <v>1.2</v>
      </c>
      <c r="AP6" s="96">
        <v>0.33</v>
      </c>
      <c r="AQ6" s="96">
        <v>0.14000000000000001</v>
      </c>
      <c r="AR6" s="96">
        <v>23.2</v>
      </c>
      <c r="AS6" s="93">
        <v>4.4000000000000004</v>
      </c>
      <c r="AT6" s="96">
        <v>8.1999999999999993</v>
      </c>
      <c r="AU6" s="96">
        <v>1.3</v>
      </c>
      <c r="AV6" s="99">
        <v>96</v>
      </c>
      <c r="AW6" s="98">
        <v>10</v>
      </c>
      <c r="AX6" s="98">
        <v>38.700000000000003</v>
      </c>
      <c r="AY6" s="98">
        <v>5.4</v>
      </c>
      <c r="AZ6" s="98">
        <v>205</v>
      </c>
      <c r="BA6" s="98">
        <v>26</v>
      </c>
      <c r="BB6" s="98">
        <v>39.4</v>
      </c>
      <c r="BC6" s="98">
        <v>5</v>
      </c>
      <c r="BD6" s="98">
        <v>363</v>
      </c>
      <c r="BE6" s="98">
        <v>50</v>
      </c>
      <c r="BF6" s="98">
        <v>69</v>
      </c>
      <c r="BG6" s="98">
        <v>10</v>
      </c>
      <c r="BI6" s="93">
        <v>8.6999999999999993</v>
      </c>
      <c r="BJ6" s="98">
        <v>3.9</v>
      </c>
      <c r="BK6" s="98">
        <v>534000</v>
      </c>
      <c r="BL6" s="98">
        <v>69000</v>
      </c>
      <c r="BM6" s="98">
        <v>9700</v>
      </c>
      <c r="BN6" s="98">
        <v>1500</v>
      </c>
      <c r="BO6" s="99">
        <v>123</v>
      </c>
      <c r="BP6" s="98">
        <v>11</v>
      </c>
      <c r="BQ6" s="99">
        <v>176</v>
      </c>
      <c r="BR6" s="98">
        <v>21</v>
      </c>
      <c r="BT6" s="95">
        <f t="shared" si="0"/>
        <v>0.48484848484848486</v>
      </c>
      <c r="BU6" s="96">
        <f t="shared" si="1"/>
        <v>11.60377358490566</v>
      </c>
      <c r="BV6" s="96">
        <f t="shared" si="2"/>
        <v>55.051546391752581</v>
      </c>
      <c r="BW6" s="96">
        <f t="shared" si="3"/>
        <v>0.69886363636363635</v>
      </c>
      <c r="BX6" s="99">
        <f>CK6/SQRT(CJ6*CL6)</f>
        <v>520.25950841400606</v>
      </c>
      <c r="BY6" s="96">
        <f t="shared" si="4"/>
        <v>11.60377358490566</v>
      </c>
      <c r="BZ6" s="97">
        <f t="shared" si="5"/>
        <v>8.8578424312256952E-3</v>
      </c>
      <c r="CA6" s="95">
        <f t="shared" si="6"/>
        <v>0.10100883324542914</v>
      </c>
      <c r="CB6" s="99">
        <f t="shared" ref="CB6:CC39" si="20">BQ6*(EXP(0.0001551*2740)+0.0072*EXP(2740*0.0009849))</f>
        <v>288.03062078914792</v>
      </c>
      <c r="CC6" s="99">
        <f t="shared" si="20"/>
        <v>34.367289980523331</v>
      </c>
      <c r="CD6" s="100">
        <f t="shared" ref="CD6:CD39" si="21">4800/(5.711-LOG(BI6)-LOG(1)+LOG(0.75))-273.15</f>
        <v>759.87627822391858</v>
      </c>
      <c r="CE6" s="100">
        <f t="shared" ref="CE6:CE39" si="22">4800/(5.711-LOG(BI6)-LOG(1)+LOG(0.5))-273.15</f>
        <v>800.56723045064234</v>
      </c>
      <c r="CF6" s="100">
        <f t="shared" ref="CF6:CF69" si="23">((((4800^2)*(BI6^2)*(0.072^2)+(4800^2)*(BJ6^2)+(BI6^2)*(86^2)*((5.711-LOG(BI6))^2))/((BI6^2)*(5.711-LOG(BI6))^4))^(1/2))/2</f>
        <v>48.701964733301985</v>
      </c>
      <c r="CG6" s="96">
        <f t="shared" ref="CG6:CG39" si="24">2.28+3.99*LOG(AH6/((CB6*BI6)^(1/2)))</f>
        <v>1.0489100407850838</v>
      </c>
      <c r="CH6" s="96">
        <f>(4*0.1^2+4*0.12^2*LOG((AH6/(CB6*BI6)^0.5)^2)+3.99*(BJ6/2)^2/(BI6^2)+3.99^2*(CC6/2)^2/(CB6^2)+4*3.99*(AI6/2)^2/(AH6^2))^(1/2)</f>
        <v>0.63331013761586596</v>
      </c>
      <c r="CJ6" s="95">
        <f>AF6/CJ$4</f>
        <v>6.7510548523206761E-3</v>
      </c>
      <c r="CK6" s="93">
        <f t="shared" si="7"/>
        <v>40.196078431372555</v>
      </c>
      <c r="CL6" s="93">
        <f t="shared" si="8"/>
        <v>0.88421052631578956</v>
      </c>
      <c r="CM6" s="93">
        <f t="shared" si="9"/>
        <v>4.5396145610278369</v>
      </c>
      <c r="CN6" s="93">
        <f t="shared" si="10"/>
        <v>28.104575163398692</v>
      </c>
      <c r="CO6" s="93">
        <f t="shared" si="11"/>
        <v>5.6896551724137927</v>
      </c>
      <c r="CP6" s="93">
        <f t="shared" si="12"/>
        <v>112.89537712895377</v>
      </c>
      <c r="CQ6" s="93">
        <f t="shared" si="13"/>
        <v>219.25133689839569</v>
      </c>
      <c r="CR6" s="93">
        <f t="shared" si="14"/>
        <v>377.95275590551182</v>
      </c>
      <c r="CS6" s="93">
        <f t="shared" si="15"/>
        <v>683.74558303886931</v>
      </c>
      <c r="CT6" s="93">
        <f t="shared" si="16"/>
        <v>1238.6706948640483</v>
      </c>
      <c r="CU6" s="93">
        <f t="shared" si="17"/>
        <v>1545.0980392156864</v>
      </c>
      <c r="CV6" s="93">
        <f t="shared" si="18"/>
        <v>2135.2941176470586</v>
      </c>
      <c r="CW6" s="93">
        <f t="shared" si="19"/>
        <v>2716.5354330708665</v>
      </c>
    </row>
    <row r="7" spans="1:101" s="98" customFormat="1">
      <c r="A7" s="3" t="s">
        <v>246</v>
      </c>
      <c r="B7" s="92" t="s">
        <v>244</v>
      </c>
      <c r="C7" s="3"/>
      <c r="D7" s="93">
        <v>11.016999999999999</v>
      </c>
      <c r="E7" s="94">
        <v>0.18931000000000001</v>
      </c>
      <c r="F7" s="94">
        <v>7.2999999999999996E-4</v>
      </c>
      <c r="G7" s="95">
        <v>13.75</v>
      </c>
      <c r="H7" s="96">
        <v>0.41</v>
      </c>
      <c r="I7" s="97">
        <v>0.52700000000000002</v>
      </c>
      <c r="J7" s="95">
        <v>1.4E-2</v>
      </c>
      <c r="K7" s="96">
        <v>0.78832000000000002</v>
      </c>
      <c r="M7" s="99">
        <v>2729</v>
      </c>
      <c r="N7" s="98">
        <v>60</v>
      </c>
      <c r="O7" s="99">
        <v>2737.8</v>
      </c>
      <c r="P7" s="98">
        <v>4.2</v>
      </c>
      <c r="Q7" s="93">
        <v>0.34</v>
      </c>
      <c r="R7" s="97">
        <v>2.4399999999999999E-3</v>
      </c>
      <c r="T7" s="98">
        <v>490</v>
      </c>
      <c r="U7" s="98">
        <v>100</v>
      </c>
      <c r="V7" s="98">
        <v>0.3</v>
      </c>
      <c r="W7" s="98">
        <v>1.5</v>
      </c>
      <c r="X7" s="98">
        <v>0.17</v>
      </c>
      <c r="Y7" s="98">
        <v>0.16</v>
      </c>
      <c r="Z7" s="98">
        <v>2.64</v>
      </c>
      <c r="AA7" s="98">
        <v>0.82</v>
      </c>
      <c r="AB7" s="98">
        <v>1.17</v>
      </c>
      <c r="AC7" s="98">
        <v>0.43</v>
      </c>
      <c r="AD7" s="98">
        <v>3350</v>
      </c>
      <c r="AE7" s="98">
        <v>280</v>
      </c>
      <c r="AF7" s="95">
        <v>8.1000000000000003E-2</v>
      </c>
      <c r="AG7" s="97">
        <v>2.7E-2</v>
      </c>
      <c r="AH7" s="96">
        <v>22.6</v>
      </c>
      <c r="AI7" s="96">
        <v>2.5</v>
      </c>
      <c r="AJ7" s="95">
        <v>0.6</v>
      </c>
      <c r="AK7" s="95">
        <v>0.14000000000000001</v>
      </c>
      <c r="AL7" s="96">
        <v>9.6</v>
      </c>
      <c r="AM7" s="96">
        <v>2</v>
      </c>
      <c r="AN7" s="96">
        <v>15.5</v>
      </c>
      <c r="AO7" s="96">
        <v>2.9</v>
      </c>
      <c r="AP7" s="96">
        <v>2.4700000000000002</v>
      </c>
      <c r="AQ7" s="96">
        <v>0.53</v>
      </c>
      <c r="AR7" s="96">
        <v>99</v>
      </c>
      <c r="AS7" s="93">
        <v>13</v>
      </c>
      <c r="AT7" s="96">
        <v>28.7</v>
      </c>
      <c r="AU7" s="96">
        <v>2.7</v>
      </c>
      <c r="AV7" s="99">
        <v>332</v>
      </c>
      <c r="AW7" s="98">
        <v>31</v>
      </c>
      <c r="AX7" s="98">
        <v>111</v>
      </c>
      <c r="AY7" s="98">
        <v>9.4</v>
      </c>
      <c r="AZ7" s="98">
        <v>530</v>
      </c>
      <c r="BA7" s="98">
        <v>52</v>
      </c>
      <c r="BB7" s="98">
        <v>99.7</v>
      </c>
      <c r="BC7" s="98">
        <v>9.4</v>
      </c>
      <c r="BD7" s="98">
        <v>830</v>
      </c>
      <c r="BE7" s="98">
        <v>100</v>
      </c>
      <c r="BF7" s="98">
        <v>149</v>
      </c>
      <c r="BG7" s="98">
        <v>20</v>
      </c>
      <c r="BI7" s="93">
        <v>13.8</v>
      </c>
      <c r="BJ7" s="98">
        <v>3</v>
      </c>
      <c r="BK7" s="98">
        <v>576000</v>
      </c>
      <c r="BL7" s="98">
        <v>77000</v>
      </c>
      <c r="BM7" s="98">
        <v>8300</v>
      </c>
      <c r="BN7" s="98">
        <v>1000</v>
      </c>
      <c r="BO7" s="99">
        <v>208</v>
      </c>
      <c r="BP7" s="98">
        <v>17</v>
      </c>
      <c r="BQ7" s="99">
        <v>176</v>
      </c>
      <c r="BR7" s="98">
        <v>14</v>
      </c>
      <c r="BT7" s="95">
        <f t="shared" si="0"/>
        <v>0.21204819277108433</v>
      </c>
      <c r="BU7" s="96">
        <f t="shared" si="1"/>
        <v>2.354166666666667</v>
      </c>
      <c r="BV7" s="96">
        <f t="shared" si="2"/>
        <v>69.397590361445779</v>
      </c>
      <c r="BW7" s="96">
        <f t="shared" si="3"/>
        <v>1.1818181818181819</v>
      </c>
      <c r="BX7" s="99">
        <f>CK7/SQRT(CJ7*CL7)</f>
        <v>25.13476667355804</v>
      </c>
      <c r="BY7" s="96">
        <f t="shared" si="4"/>
        <v>2.354166666666667</v>
      </c>
      <c r="BZ7" s="97">
        <f t="shared" si="5"/>
        <v>7.0273631840796029E-4</v>
      </c>
      <c r="CA7" s="95">
        <f t="shared" si="6"/>
        <v>0.19276897664472731</v>
      </c>
      <c r="CB7" s="99">
        <f t="shared" si="20"/>
        <v>288.03062078914792</v>
      </c>
      <c r="CC7" s="99">
        <f t="shared" si="20"/>
        <v>22.911526653682223</v>
      </c>
      <c r="CD7" s="100">
        <f t="shared" si="21"/>
        <v>806.42789602967389</v>
      </c>
      <c r="CE7" s="100">
        <f t="shared" si="22"/>
        <v>850.9478452799566</v>
      </c>
      <c r="CF7" s="100">
        <f t="shared" si="23"/>
        <v>27.9347577546346</v>
      </c>
      <c r="CG7" s="96">
        <f t="shared" si="24"/>
        <v>0.5022537672444074</v>
      </c>
      <c r="CH7" s="96">
        <f t="shared" ref="CH7:CH39" si="25">(4*0.1^2+4*0.12^2*LOG((AH7/(CB7*BI7)^0.5)^2)+3.99*(BJ7/2)^2/(BI7^2)+3.99^2*(CC7/2)^2/(CB7^2)+4*3.99*(AI7/2)^2/(AH7^2))^(1/2)</f>
        <v>0.33139289178672116</v>
      </c>
      <c r="CJ7" s="95">
        <f>AF7/CJ$4</f>
        <v>0.34177215189873422</v>
      </c>
      <c r="CK7" s="93">
        <f t="shared" si="7"/>
        <v>36.928104575163403</v>
      </c>
      <c r="CL7" s="93">
        <f t="shared" si="8"/>
        <v>6.3157894736842106</v>
      </c>
      <c r="CM7" s="93">
        <f t="shared" si="9"/>
        <v>20.556745182012847</v>
      </c>
      <c r="CN7" s="93">
        <f t="shared" si="10"/>
        <v>101.30718954248366</v>
      </c>
      <c r="CO7" s="93">
        <f t="shared" si="11"/>
        <v>42.586206896551722</v>
      </c>
      <c r="CP7" s="93">
        <f t="shared" si="12"/>
        <v>481.7518248175183</v>
      </c>
      <c r="CQ7" s="93">
        <f t="shared" si="13"/>
        <v>767.37967914438491</v>
      </c>
      <c r="CR7" s="93">
        <f t="shared" si="14"/>
        <v>1307.0866141732283</v>
      </c>
      <c r="CS7" s="93">
        <f t="shared" si="15"/>
        <v>1961.13074204947</v>
      </c>
      <c r="CT7" s="93">
        <f t="shared" si="16"/>
        <v>3202.4169184290026</v>
      </c>
      <c r="CU7" s="93">
        <f t="shared" si="17"/>
        <v>3909.8039215686276</v>
      </c>
      <c r="CV7" s="93">
        <f t="shared" si="18"/>
        <v>4882.3529411764703</v>
      </c>
      <c r="CW7" s="93">
        <f t="shared" si="19"/>
        <v>5866.141732283465</v>
      </c>
    </row>
    <row r="8" spans="1:101" s="98" customFormat="1">
      <c r="A8" s="3" t="s">
        <v>247</v>
      </c>
      <c r="B8" s="92" t="s">
        <v>244</v>
      </c>
      <c r="C8" s="3"/>
      <c r="D8" s="93">
        <v>11.039</v>
      </c>
      <c r="E8" s="94">
        <v>0.18948000000000001</v>
      </c>
      <c r="F8" s="94">
        <v>6.9999999999999999E-4</v>
      </c>
      <c r="G8" s="95">
        <v>13.773</v>
      </c>
      <c r="H8" s="96">
        <v>0.41</v>
      </c>
      <c r="I8" s="97">
        <v>0.52790000000000004</v>
      </c>
      <c r="J8" s="95">
        <v>1.4E-2</v>
      </c>
      <c r="K8" s="96">
        <v>0.87914000000000003</v>
      </c>
      <c r="M8" s="99">
        <v>2732.7</v>
      </c>
      <c r="N8" s="98">
        <v>61</v>
      </c>
      <c r="O8" s="99">
        <v>2737.6</v>
      </c>
      <c r="P8" s="98">
        <v>3.1</v>
      </c>
      <c r="Q8" s="93">
        <v>0.18</v>
      </c>
      <c r="R8" s="97">
        <v>1.66E-3</v>
      </c>
      <c r="T8" s="98">
        <v>310</v>
      </c>
      <c r="U8" s="98">
        <v>240</v>
      </c>
      <c r="V8" s="98">
        <v>0.1</v>
      </c>
      <c r="W8" s="98">
        <v>1.2</v>
      </c>
      <c r="X8" s="98">
        <v>0.13</v>
      </c>
      <c r="Y8" s="98">
        <v>0.15</v>
      </c>
      <c r="Z8" s="98">
        <v>1.45</v>
      </c>
      <c r="AA8" s="98">
        <v>0.49</v>
      </c>
      <c r="AB8" s="98">
        <v>0.69</v>
      </c>
      <c r="AC8" s="98">
        <v>0.28999999999999998</v>
      </c>
      <c r="AD8" s="98">
        <v>1900</v>
      </c>
      <c r="AE8" s="98">
        <v>170</v>
      </c>
      <c r="AF8" s="95">
        <v>2.4E-2</v>
      </c>
      <c r="AG8" s="97">
        <v>0.02</v>
      </c>
      <c r="AH8" s="96">
        <v>17.100000000000001</v>
      </c>
      <c r="AI8" s="96">
        <v>2.2000000000000002</v>
      </c>
      <c r="AJ8" s="95">
        <v>0.28599999999999998</v>
      </c>
      <c r="AK8" s="95">
        <v>7.9000000000000001E-2</v>
      </c>
      <c r="AL8" s="96">
        <v>5.7</v>
      </c>
      <c r="AM8" s="96">
        <v>1.1000000000000001</v>
      </c>
      <c r="AN8" s="96">
        <v>10.7</v>
      </c>
      <c r="AO8" s="96">
        <v>2.1</v>
      </c>
      <c r="AP8" s="96">
        <v>1.08</v>
      </c>
      <c r="AQ8" s="96">
        <v>0.35</v>
      </c>
      <c r="AR8" s="96">
        <v>51.7</v>
      </c>
      <c r="AS8" s="93">
        <v>7.6</v>
      </c>
      <c r="AT8" s="96">
        <v>16.399999999999999</v>
      </c>
      <c r="AU8" s="96">
        <v>2</v>
      </c>
      <c r="AV8" s="99">
        <v>178</v>
      </c>
      <c r="AW8" s="98">
        <v>12</v>
      </c>
      <c r="AX8" s="98">
        <v>62.7</v>
      </c>
      <c r="AY8" s="98">
        <v>5.4</v>
      </c>
      <c r="AZ8" s="98">
        <v>300</v>
      </c>
      <c r="BA8" s="98">
        <v>26</v>
      </c>
      <c r="BB8" s="98">
        <v>53.8</v>
      </c>
      <c r="BC8" s="98">
        <v>4.0999999999999996</v>
      </c>
      <c r="BD8" s="98">
        <v>460</v>
      </c>
      <c r="BE8" s="98">
        <v>52</v>
      </c>
      <c r="BF8" s="98">
        <v>81</v>
      </c>
      <c r="BG8" s="98">
        <v>10</v>
      </c>
      <c r="BI8" s="93">
        <v>5.0999999999999996</v>
      </c>
      <c r="BJ8" s="98">
        <v>2.7</v>
      </c>
      <c r="BK8" s="98">
        <v>574000</v>
      </c>
      <c r="BL8" s="98">
        <v>66000</v>
      </c>
      <c r="BM8" s="98">
        <v>8790</v>
      </c>
      <c r="BN8" s="98">
        <v>720</v>
      </c>
      <c r="BO8" s="99">
        <v>156</v>
      </c>
      <c r="BP8" s="98">
        <v>13</v>
      </c>
      <c r="BQ8" s="99">
        <v>153</v>
      </c>
      <c r="BR8" s="98">
        <v>13</v>
      </c>
      <c r="BT8" s="95">
        <f t="shared" si="0"/>
        <v>0.33260869565217394</v>
      </c>
      <c r="BU8" s="96">
        <f t="shared" si="1"/>
        <v>3</v>
      </c>
      <c r="BV8" s="96">
        <f t="shared" si="2"/>
        <v>65.301478953356082</v>
      </c>
      <c r="BW8" s="96">
        <f t="shared" si="3"/>
        <v>1.0196078431372548</v>
      </c>
      <c r="BX8" s="99">
        <f>CK8/SQRT(CJ8*CL8)</f>
        <v>50.604836552262348</v>
      </c>
      <c r="BY8" s="96">
        <f t="shared" si="4"/>
        <v>3</v>
      </c>
      <c r="BZ8" s="97">
        <f t="shared" si="5"/>
        <v>1.5789473684210526E-3</v>
      </c>
      <c r="CA8" s="95">
        <f t="shared" si="6"/>
        <v>0.14038161359915552</v>
      </c>
      <c r="CB8" s="99">
        <f t="shared" si="20"/>
        <v>250.39025557238429</v>
      </c>
      <c r="CC8" s="99">
        <f t="shared" si="20"/>
        <v>21.274989035562065</v>
      </c>
      <c r="CD8" s="100">
        <f t="shared" si="21"/>
        <v>710.76078596039724</v>
      </c>
      <c r="CE8" s="100">
        <f t="shared" si="22"/>
        <v>747.60539625019237</v>
      </c>
      <c r="CF8" s="100">
        <f t="shared" si="23"/>
        <v>51.937070778342431</v>
      </c>
      <c r="CG8" s="96">
        <f t="shared" si="24"/>
        <v>1.0028102193741752</v>
      </c>
      <c r="CH8" s="96">
        <f t="shared" si="25"/>
        <v>0.6143918369954886</v>
      </c>
      <c r="CJ8" s="95">
        <f>AF8/CJ$4</f>
        <v>0.10126582278481014</v>
      </c>
      <c r="CK8" s="93">
        <f t="shared" si="7"/>
        <v>27.941176470588239</v>
      </c>
      <c r="CL8" s="93">
        <f t="shared" si="8"/>
        <v>3.0105263157894733</v>
      </c>
      <c r="CM8" s="93">
        <f t="shared" si="9"/>
        <v>12.205567451820128</v>
      </c>
      <c r="CN8" s="93">
        <f t="shared" si="10"/>
        <v>69.93464052287581</v>
      </c>
      <c r="CO8" s="93">
        <f t="shared" si="11"/>
        <v>18.620689655172413</v>
      </c>
      <c r="CP8" s="93">
        <f t="shared" si="12"/>
        <v>251.5815085158151</v>
      </c>
      <c r="CQ8" s="93">
        <f t="shared" si="13"/>
        <v>438.50267379679138</v>
      </c>
      <c r="CR8" s="93">
        <f t="shared" si="14"/>
        <v>700.78740157480308</v>
      </c>
      <c r="CS8" s="93">
        <f t="shared" si="15"/>
        <v>1107.773851590106</v>
      </c>
      <c r="CT8" s="93">
        <f t="shared" si="16"/>
        <v>1812.6888217522658</v>
      </c>
      <c r="CU8" s="93">
        <f t="shared" si="17"/>
        <v>2109.8039215686276</v>
      </c>
      <c r="CV8" s="93">
        <f t="shared" si="18"/>
        <v>2705.8823529411761</v>
      </c>
      <c r="CW8" s="93">
        <f t="shared" si="19"/>
        <v>3188.9763779527561</v>
      </c>
    </row>
    <row r="9" spans="1:101" s="98" customFormat="1">
      <c r="A9" s="3" t="s">
        <v>248</v>
      </c>
      <c r="B9" s="92" t="s">
        <v>244</v>
      </c>
      <c r="C9" s="3"/>
      <c r="D9" s="93">
        <v>11.007999999999999</v>
      </c>
      <c r="E9" s="94">
        <v>0.18956999999999999</v>
      </c>
      <c r="F9" s="94">
        <v>8.5999999999999998E-4</v>
      </c>
      <c r="G9" s="95">
        <v>14.26</v>
      </c>
      <c r="H9" s="96">
        <v>0.43</v>
      </c>
      <c r="I9" s="97">
        <v>0.5464</v>
      </c>
      <c r="J9" s="95">
        <v>1.4999999999999999E-2</v>
      </c>
      <c r="K9" s="96">
        <v>0.88502999999999998</v>
      </c>
      <c r="M9" s="99">
        <v>2810</v>
      </c>
      <c r="N9" s="98">
        <v>64</v>
      </c>
      <c r="O9" s="99">
        <v>2739.4</v>
      </c>
      <c r="P9" s="98">
        <v>2.1</v>
      </c>
      <c r="Q9" s="93">
        <v>-2.59</v>
      </c>
      <c r="R9" s="97">
        <v>1.8000000000000001E-4</v>
      </c>
      <c r="T9" s="98">
        <v>440</v>
      </c>
      <c r="U9" s="98">
        <v>170</v>
      </c>
      <c r="V9" s="98">
        <v>0.3</v>
      </c>
      <c r="W9" s="98">
        <v>1.3</v>
      </c>
      <c r="X9" s="98">
        <v>0.28000000000000003</v>
      </c>
      <c r="Y9" s="98">
        <v>0.23</v>
      </c>
      <c r="Z9" s="98">
        <v>2.21</v>
      </c>
      <c r="AA9" s="98">
        <v>0.79</v>
      </c>
      <c r="AB9" s="98">
        <v>0.95</v>
      </c>
      <c r="AC9" s="98">
        <v>0.42</v>
      </c>
      <c r="AD9" s="98">
        <v>3060</v>
      </c>
      <c r="AE9" s="98">
        <v>280</v>
      </c>
      <c r="AF9" s="95">
        <v>3.9E-2</v>
      </c>
      <c r="AG9" s="97">
        <v>0.02</v>
      </c>
      <c r="AH9" s="96">
        <v>29.1</v>
      </c>
      <c r="AI9" s="96">
        <v>3.6</v>
      </c>
      <c r="AJ9" s="95">
        <v>0.495</v>
      </c>
      <c r="AK9" s="95">
        <v>9.8000000000000004E-2</v>
      </c>
      <c r="AL9" s="96">
        <v>8.8000000000000007</v>
      </c>
      <c r="AM9" s="96">
        <v>2.1</v>
      </c>
      <c r="AN9" s="96">
        <v>12.6</v>
      </c>
      <c r="AO9" s="96">
        <v>2.5</v>
      </c>
      <c r="AP9" s="96">
        <v>1.25</v>
      </c>
      <c r="AQ9" s="96">
        <v>0.26</v>
      </c>
      <c r="AR9" s="96">
        <v>74</v>
      </c>
      <c r="AS9" s="93">
        <v>11</v>
      </c>
      <c r="AT9" s="96">
        <v>22.1</v>
      </c>
      <c r="AU9" s="96">
        <v>2.6</v>
      </c>
      <c r="AV9" s="99">
        <v>259</v>
      </c>
      <c r="AW9" s="98">
        <v>19</v>
      </c>
      <c r="AX9" s="98">
        <v>100</v>
      </c>
      <c r="AY9" s="98">
        <v>10</v>
      </c>
      <c r="AZ9" s="98">
        <v>462</v>
      </c>
      <c r="BA9" s="98">
        <v>42</v>
      </c>
      <c r="BB9" s="98">
        <v>86.6</v>
      </c>
      <c r="BC9" s="98">
        <v>9</v>
      </c>
      <c r="BD9" s="98">
        <v>721</v>
      </c>
      <c r="BE9" s="98">
        <v>69</v>
      </c>
      <c r="BF9" s="98">
        <v>126</v>
      </c>
      <c r="BG9" s="98">
        <v>15</v>
      </c>
      <c r="BI9" s="93">
        <v>5.8</v>
      </c>
      <c r="BJ9" s="98">
        <v>3.2</v>
      </c>
      <c r="BK9" s="98">
        <v>535000</v>
      </c>
      <c r="BL9" s="98">
        <v>54000</v>
      </c>
      <c r="BM9" s="98">
        <v>9800</v>
      </c>
      <c r="BN9" s="98">
        <v>1100</v>
      </c>
      <c r="BO9" s="99">
        <v>299</v>
      </c>
      <c r="BP9" s="98">
        <v>21</v>
      </c>
      <c r="BQ9" s="99">
        <v>261</v>
      </c>
      <c r="BR9" s="98">
        <v>19</v>
      </c>
      <c r="BT9" s="95">
        <f t="shared" si="0"/>
        <v>0.36199722607489598</v>
      </c>
      <c r="BU9" s="96">
        <f t="shared" si="1"/>
        <v>3.3068181818181817</v>
      </c>
      <c r="BV9" s="96">
        <f t="shared" si="2"/>
        <v>54.591836734693878</v>
      </c>
      <c r="BW9" s="96">
        <f t="shared" si="3"/>
        <v>1.1455938697318007</v>
      </c>
      <c r="BX9" s="99">
        <f>CK9/SQRT(CJ9*CL9)</f>
        <v>51.350259127715063</v>
      </c>
      <c r="BY9" s="96">
        <f t="shared" si="4"/>
        <v>3.3068181818181817</v>
      </c>
      <c r="BZ9" s="97">
        <f t="shared" si="5"/>
        <v>1.0806595365418893E-3</v>
      </c>
      <c r="CA9" s="95">
        <f t="shared" si="6"/>
        <v>0.12515047881927249</v>
      </c>
      <c r="CB9" s="99">
        <f t="shared" si="20"/>
        <v>427.13631832936142</v>
      </c>
      <c r="CC9" s="99">
        <f t="shared" si="20"/>
        <v>31.094214744283015</v>
      </c>
      <c r="CD9" s="100">
        <f t="shared" si="21"/>
        <v>722.15686482624312</v>
      </c>
      <c r="CE9" s="100">
        <f t="shared" si="22"/>
        <v>759.87627822391858</v>
      </c>
      <c r="CF9" s="100">
        <f t="shared" si="23"/>
        <v>55.240639459554579</v>
      </c>
      <c r="CG9" s="96">
        <f t="shared" si="24"/>
        <v>1.3499140114618138</v>
      </c>
      <c r="CH9" s="96">
        <f t="shared" si="25"/>
        <v>0.63161821728632583</v>
      </c>
      <c r="CJ9" s="95">
        <f>AF9/CJ$4</f>
        <v>0.16455696202531647</v>
      </c>
      <c r="CK9" s="93">
        <f t="shared" si="7"/>
        <v>47.549019607843142</v>
      </c>
      <c r="CL9" s="93">
        <f t="shared" si="8"/>
        <v>5.2105263157894735</v>
      </c>
      <c r="CM9" s="93">
        <f t="shared" si="9"/>
        <v>18.843683083511777</v>
      </c>
      <c r="CN9" s="93">
        <f t="shared" si="10"/>
        <v>82.352941176470594</v>
      </c>
      <c r="CO9" s="93">
        <f t="shared" si="11"/>
        <v>21.551724137931032</v>
      </c>
      <c r="CP9" s="93">
        <f t="shared" si="12"/>
        <v>360.09732360097325</v>
      </c>
      <c r="CQ9" s="93">
        <f t="shared" si="13"/>
        <v>590.90909090909088</v>
      </c>
      <c r="CR9" s="93">
        <f t="shared" si="14"/>
        <v>1019.6850393700787</v>
      </c>
      <c r="CS9" s="93">
        <f t="shared" si="15"/>
        <v>1766.7844522968198</v>
      </c>
      <c r="CT9" s="93">
        <f t="shared" si="16"/>
        <v>2791.5407854984892</v>
      </c>
      <c r="CU9" s="93">
        <f t="shared" si="17"/>
        <v>3396.0784313725489</v>
      </c>
      <c r="CV9" s="93">
        <f t="shared" si="18"/>
        <v>4241.1764705882351</v>
      </c>
      <c r="CW9" s="93">
        <f t="shared" si="19"/>
        <v>4960.6299212598424</v>
      </c>
    </row>
    <row r="10" spans="1:101" s="98" customFormat="1">
      <c r="A10" s="3" t="s">
        <v>249</v>
      </c>
      <c r="B10" s="92" t="s">
        <v>244</v>
      </c>
      <c r="C10" s="3"/>
      <c r="D10" s="93">
        <v>11.009</v>
      </c>
      <c r="E10" s="94">
        <v>0.18926000000000001</v>
      </c>
      <c r="F10" s="94">
        <v>9.3999999999999997E-4</v>
      </c>
      <c r="G10" s="95">
        <v>13.79</v>
      </c>
      <c r="H10" s="96">
        <v>0.4</v>
      </c>
      <c r="I10" s="97">
        <v>0.52939999999999998</v>
      </c>
      <c r="J10" s="95">
        <v>1.4E-2</v>
      </c>
      <c r="K10" s="96">
        <v>0.47665000000000002</v>
      </c>
      <c r="M10" s="99">
        <v>2738.7</v>
      </c>
      <c r="N10" s="98">
        <v>60</v>
      </c>
      <c r="O10" s="99">
        <v>2736.2</v>
      </c>
      <c r="P10" s="98">
        <v>4.5999999999999996</v>
      </c>
      <c r="Q10" s="93">
        <v>-0.1</v>
      </c>
      <c r="R10" s="97">
        <v>1.1199999999999999E-3</v>
      </c>
      <c r="T10" s="98">
        <v>290</v>
      </c>
      <c r="U10" s="98">
        <v>160</v>
      </c>
      <c r="V10" s="98" t="s">
        <v>250</v>
      </c>
      <c r="W10" s="98" t="s">
        <v>250</v>
      </c>
      <c r="X10" s="98">
        <v>0.24</v>
      </c>
      <c r="Y10" s="98">
        <v>0.19</v>
      </c>
      <c r="Z10" s="98">
        <v>1.87</v>
      </c>
      <c r="AA10" s="98">
        <v>0.61</v>
      </c>
      <c r="AB10" s="98">
        <v>0.68</v>
      </c>
      <c r="AC10" s="98">
        <v>0.31</v>
      </c>
      <c r="AD10" s="98">
        <v>1000</v>
      </c>
      <c r="AE10" s="98">
        <v>120</v>
      </c>
      <c r="AF10" s="95" t="s">
        <v>250</v>
      </c>
      <c r="AG10" s="97" t="s">
        <v>250</v>
      </c>
      <c r="AH10" s="96">
        <v>17</v>
      </c>
      <c r="AI10" s="96">
        <v>1.9</v>
      </c>
      <c r="AJ10" s="95">
        <v>0.13300000000000001</v>
      </c>
      <c r="AK10" s="95">
        <v>4.4999999999999998E-2</v>
      </c>
      <c r="AL10" s="96">
        <v>1.91</v>
      </c>
      <c r="AM10" s="96">
        <v>0.65</v>
      </c>
      <c r="AN10" s="96">
        <v>3.71</v>
      </c>
      <c r="AO10" s="96">
        <v>0.97</v>
      </c>
      <c r="AP10" s="96">
        <v>0.28000000000000003</v>
      </c>
      <c r="AQ10" s="96">
        <v>0.15</v>
      </c>
      <c r="AR10" s="96">
        <v>21.8</v>
      </c>
      <c r="AS10" s="93">
        <v>3.9</v>
      </c>
      <c r="AT10" s="96">
        <v>6.58</v>
      </c>
      <c r="AU10" s="96">
        <v>0.87</v>
      </c>
      <c r="AV10" s="99">
        <v>82</v>
      </c>
      <c r="AW10" s="98">
        <v>11</v>
      </c>
      <c r="AX10" s="98">
        <v>29.7</v>
      </c>
      <c r="AY10" s="98">
        <v>3.3</v>
      </c>
      <c r="AZ10" s="98">
        <v>160</v>
      </c>
      <c r="BA10" s="98">
        <v>18</v>
      </c>
      <c r="BB10" s="98">
        <v>32.9</v>
      </c>
      <c r="BC10" s="98">
        <v>3.1</v>
      </c>
      <c r="BD10" s="98">
        <v>307</v>
      </c>
      <c r="BE10" s="98">
        <v>36</v>
      </c>
      <c r="BF10" s="98">
        <v>60.1</v>
      </c>
      <c r="BG10" s="98">
        <v>6.7</v>
      </c>
      <c r="BI10" s="93">
        <v>8.5</v>
      </c>
      <c r="BJ10" s="98">
        <v>2.9</v>
      </c>
      <c r="BK10" s="98">
        <v>511000</v>
      </c>
      <c r="BL10" s="98">
        <v>47000</v>
      </c>
      <c r="BM10" s="98">
        <v>9300</v>
      </c>
      <c r="BN10" s="98">
        <v>1000</v>
      </c>
      <c r="BO10" s="99">
        <v>77.599999999999994</v>
      </c>
      <c r="BP10" s="98">
        <v>5.6</v>
      </c>
      <c r="BQ10" s="99">
        <v>118.6</v>
      </c>
      <c r="BR10" s="98">
        <v>9.6</v>
      </c>
      <c r="BT10" s="95">
        <f t="shared" si="0"/>
        <v>0.38631921824104232</v>
      </c>
      <c r="BU10" s="96">
        <f t="shared" si="1"/>
        <v>8.9005235602094253</v>
      </c>
      <c r="BV10" s="96">
        <f t="shared" si="2"/>
        <v>54.946236559139784</v>
      </c>
      <c r="BW10" s="96">
        <f t="shared" si="3"/>
        <v>0.65430016863406404</v>
      </c>
      <c r="BX10" s="99"/>
      <c r="BY10" s="96">
        <f t="shared" si="4"/>
        <v>8.9005235602094253</v>
      </c>
      <c r="BZ10" s="97">
        <f t="shared" si="5"/>
        <v>8.9005235602094245E-3</v>
      </c>
      <c r="CA10" s="95">
        <f t="shared" si="6"/>
        <v>9.5184550796607037E-2</v>
      </c>
      <c r="CB10" s="99">
        <f t="shared" si="20"/>
        <v>194.09336150905082</v>
      </c>
      <c r="CC10" s="99">
        <f t="shared" si="20"/>
        <v>15.710761133953524</v>
      </c>
      <c r="CD10" s="100">
        <f t="shared" si="21"/>
        <v>757.63562877004108</v>
      </c>
      <c r="CE10" s="100">
        <f t="shared" si="22"/>
        <v>798.14679268750581</v>
      </c>
      <c r="CF10" s="100">
        <f t="shared" si="23"/>
        <v>37.690883056080693</v>
      </c>
      <c r="CG10" s="96">
        <f t="shared" si="24"/>
        <v>0.77071912959392619</v>
      </c>
      <c r="CH10" s="96">
        <f t="shared" si="25"/>
        <v>0.43411025227526628</v>
      </c>
      <c r="CJ10" s="95"/>
      <c r="CK10" s="93">
        <f t="shared" si="7"/>
        <v>27.777777777777779</v>
      </c>
      <c r="CL10" s="93">
        <f t="shared" si="8"/>
        <v>1.4000000000000001</v>
      </c>
      <c r="CM10" s="93">
        <f t="shared" si="9"/>
        <v>4.089935760171306</v>
      </c>
      <c r="CN10" s="93">
        <f t="shared" si="10"/>
        <v>24.248366013071895</v>
      </c>
      <c r="CO10" s="93">
        <f t="shared" si="11"/>
        <v>4.8275862068965516</v>
      </c>
      <c r="CP10" s="93">
        <f t="shared" si="12"/>
        <v>106.08272506082726</v>
      </c>
      <c r="CQ10" s="93">
        <f t="shared" si="13"/>
        <v>175.93582887700535</v>
      </c>
      <c r="CR10" s="93">
        <f t="shared" si="14"/>
        <v>322.83464566929132</v>
      </c>
      <c r="CS10" s="93">
        <f t="shared" si="15"/>
        <v>524.73498233215548</v>
      </c>
      <c r="CT10" s="93">
        <f t="shared" si="16"/>
        <v>966.76737160120842</v>
      </c>
      <c r="CU10" s="93">
        <f t="shared" si="17"/>
        <v>1290.1960784313726</v>
      </c>
      <c r="CV10" s="93">
        <f t="shared" si="18"/>
        <v>1805.8823529411764</v>
      </c>
      <c r="CW10" s="93">
        <f t="shared" si="19"/>
        <v>2366.1417322834645</v>
      </c>
    </row>
    <row r="11" spans="1:101" s="98" customFormat="1">
      <c r="A11" s="3" t="s">
        <v>251</v>
      </c>
      <c r="B11" s="92" t="s">
        <v>244</v>
      </c>
      <c r="C11" s="3"/>
      <c r="D11" s="93">
        <v>11.016</v>
      </c>
      <c r="E11" s="94">
        <v>0.18990000000000001</v>
      </c>
      <c r="F11" s="94">
        <v>8.0000000000000004E-4</v>
      </c>
      <c r="G11" s="95">
        <v>13.992000000000001</v>
      </c>
      <c r="H11" s="96">
        <v>0.41</v>
      </c>
      <c r="I11" s="97">
        <v>0.53539999999999999</v>
      </c>
      <c r="J11" s="95">
        <v>1.4999999999999999E-2</v>
      </c>
      <c r="K11" s="96">
        <v>0.81513999999999998</v>
      </c>
      <c r="M11" s="99">
        <v>2764</v>
      </c>
      <c r="N11" s="98">
        <v>61</v>
      </c>
      <c r="O11" s="99">
        <v>2740.8</v>
      </c>
      <c r="P11" s="98">
        <v>2.7</v>
      </c>
      <c r="Q11" s="93">
        <v>-0.85</v>
      </c>
      <c r="R11" s="97">
        <v>2.7999999999999998E-4</v>
      </c>
      <c r="T11" s="98">
        <v>400</v>
      </c>
      <c r="U11" s="98">
        <v>180</v>
      </c>
      <c r="V11" s="98" t="s">
        <v>250</v>
      </c>
      <c r="W11" s="98" t="s">
        <v>250</v>
      </c>
      <c r="X11" s="98">
        <v>0.11</v>
      </c>
      <c r="Y11" s="98">
        <v>0.16</v>
      </c>
      <c r="Z11" s="98">
        <v>2.78</v>
      </c>
      <c r="AA11" s="98">
        <v>0.79</v>
      </c>
      <c r="AB11" s="98">
        <v>0.99</v>
      </c>
      <c r="AC11" s="98">
        <v>0.28000000000000003</v>
      </c>
      <c r="AD11" s="98">
        <v>1370</v>
      </c>
      <c r="AE11" s="98">
        <v>150</v>
      </c>
      <c r="AF11" s="95">
        <v>4.1999999999999997E-3</v>
      </c>
      <c r="AG11" s="97">
        <v>7.4000000000000003E-3</v>
      </c>
      <c r="AH11" s="96">
        <v>29.4</v>
      </c>
      <c r="AI11" s="96">
        <v>3.8</v>
      </c>
      <c r="AJ11" s="95">
        <v>0.16600000000000001</v>
      </c>
      <c r="AK11" s="95">
        <v>4.4999999999999998E-2</v>
      </c>
      <c r="AL11" s="96">
        <v>3.6</v>
      </c>
      <c r="AM11" s="96">
        <v>1.1000000000000001</v>
      </c>
      <c r="AN11" s="96">
        <v>7.3</v>
      </c>
      <c r="AO11" s="96">
        <v>2.1</v>
      </c>
      <c r="AP11" s="96">
        <v>0.42</v>
      </c>
      <c r="AQ11" s="96">
        <v>0.14000000000000001</v>
      </c>
      <c r="AR11" s="96">
        <v>28.7</v>
      </c>
      <c r="AS11" s="93">
        <v>7.2</v>
      </c>
      <c r="AT11" s="96">
        <v>9.8000000000000007</v>
      </c>
      <c r="AU11" s="96">
        <v>1.4</v>
      </c>
      <c r="AV11" s="99">
        <v>116</v>
      </c>
      <c r="AW11" s="98">
        <v>13</v>
      </c>
      <c r="AX11" s="98">
        <v>44.2</v>
      </c>
      <c r="AY11" s="98">
        <v>6</v>
      </c>
      <c r="AZ11" s="98">
        <v>200</v>
      </c>
      <c r="BA11" s="98">
        <v>20</v>
      </c>
      <c r="BB11" s="98">
        <v>40.6</v>
      </c>
      <c r="BC11" s="98">
        <v>4.5999999999999996</v>
      </c>
      <c r="BD11" s="98">
        <v>335</v>
      </c>
      <c r="BE11" s="98">
        <v>34</v>
      </c>
      <c r="BF11" s="98">
        <v>63.5</v>
      </c>
      <c r="BG11" s="98">
        <v>7.2</v>
      </c>
      <c r="BI11" s="93">
        <v>8.6</v>
      </c>
      <c r="BJ11" s="98">
        <v>3.3</v>
      </c>
      <c r="BK11" s="98">
        <v>548000</v>
      </c>
      <c r="BL11" s="98">
        <v>67000</v>
      </c>
      <c r="BM11" s="98">
        <v>9010</v>
      </c>
      <c r="BN11" s="98">
        <v>940</v>
      </c>
      <c r="BO11" s="99">
        <v>255</v>
      </c>
      <c r="BP11" s="98">
        <v>26</v>
      </c>
      <c r="BQ11" s="99">
        <v>243</v>
      </c>
      <c r="BR11" s="98">
        <v>25</v>
      </c>
      <c r="BT11" s="95">
        <f t="shared" si="0"/>
        <v>0.72537313432835826</v>
      </c>
      <c r="BU11" s="96">
        <f t="shared" si="1"/>
        <v>8.1666666666666661</v>
      </c>
      <c r="BV11" s="96">
        <f t="shared" si="2"/>
        <v>60.821309655937846</v>
      </c>
      <c r="BW11" s="96">
        <f t="shared" si="3"/>
        <v>1.0493827160493827</v>
      </c>
      <c r="BX11" s="99">
        <f t="shared" ref="BX11:BX38" si="26">CK11/SQRT(CJ11*CL11)</f>
        <v>272.99405826726911</v>
      </c>
      <c r="BY11" s="96">
        <f t="shared" si="4"/>
        <v>8.1666666666666661</v>
      </c>
      <c r="BZ11" s="97">
        <f t="shared" si="5"/>
        <v>5.9610705596107047E-3</v>
      </c>
      <c r="CA11" s="95">
        <f t="shared" si="6"/>
        <v>8.8709584873912645E-2</v>
      </c>
      <c r="CB11" s="99">
        <f t="shared" si="20"/>
        <v>397.67864120319859</v>
      </c>
      <c r="CC11" s="99">
        <f t="shared" si="20"/>
        <v>40.913440453003972</v>
      </c>
      <c r="CD11" s="100">
        <f t="shared" si="21"/>
        <v>758.76125087340654</v>
      </c>
      <c r="CE11" s="100">
        <f t="shared" si="22"/>
        <v>799.36268230792496</v>
      </c>
      <c r="CF11" s="100">
        <f t="shared" si="23"/>
        <v>42.044691505883577</v>
      </c>
      <c r="CG11" s="96">
        <f t="shared" si="24"/>
        <v>1.0883145669909309</v>
      </c>
      <c r="CH11" s="96">
        <f t="shared" si="25"/>
        <v>0.51112653529520036</v>
      </c>
      <c r="CJ11" s="95">
        <f t="shared" ref="CJ11:CJ38" si="27">AF11/CJ$4</f>
        <v>1.7721518987341773E-2</v>
      </c>
      <c r="CK11" s="93">
        <f t="shared" si="7"/>
        <v>48.03921568627451</v>
      </c>
      <c r="CL11" s="93">
        <f t="shared" si="8"/>
        <v>1.7473684210526317</v>
      </c>
      <c r="CM11" s="93">
        <f t="shared" si="9"/>
        <v>7.7087794432548176</v>
      </c>
      <c r="CN11" s="93">
        <f t="shared" si="10"/>
        <v>47.712418300653596</v>
      </c>
      <c r="CO11" s="93">
        <f t="shared" si="11"/>
        <v>7.2413793103448265</v>
      </c>
      <c r="CP11" s="93">
        <f t="shared" si="12"/>
        <v>139.65936739659367</v>
      </c>
      <c r="CQ11" s="93">
        <f t="shared" si="13"/>
        <v>262.03208556149735</v>
      </c>
      <c r="CR11" s="93">
        <f t="shared" si="14"/>
        <v>456.69291338582678</v>
      </c>
      <c r="CS11" s="93">
        <f t="shared" si="15"/>
        <v>780.91872791519438</v>
      </c>
      <c r="CT11" s="93">
        <f t="shared" si="16"/>
        <v>1208.4592145015106</v>
      </c>
      <c r="CU11" s="93">
        <f t="shared" si="17"/>
        <v>1592.1568627450981</v>
      </c>
      <c r="CV11" s="93">
        <f t="shared" si="18"/>
        <v>1970.5882352941176</v>
      </c>
      <c r="CW11" s="93">
        <f t="shared" si="19"/>
        <v>2500</v>
      </c>
    </row>
    <row r="12" spans="1:101" s="98" customFormat="1">
      <c r="A12" s="3" t="s">
        <v>252</v>
      </c>
      <c r="B12" s="92" t="s">
        <v>244</v>
      </c>
      <c r="C12" s="3"/>
      <c r="D12" s="93">
        <v>11.121</v>
      </c>
      <c r="E12" s="94">
        <v>0.18920999999999999</v>
      </c>
      <c r="F12" s="94">
        <v>7.6999999999999996E-4</v>
      </c>
      <c r="G12" s="95">
        <v>13.907</v>
      </c>
      <c r="H12" s="96">
        <v>0.41</v>
      </c>
      <c r="I12" s="97">
        <v>0.53410000000000002</v>
      </c>
      <c r="J12" s="95">
        <v>1.4E-2</v>
      </c>
      <c r="K12" s="96">
        <v>0.74641999999999997</v>
      </c>
      <c r="M12" s="99">
        <v>2758.8</v>
      </c>
      <c r="N12" s="98">
        <v>61</v>
      </c>
      <c r="O12" s="99">
        <v>2735.4</v>
      </c>
      <c r="P12" s="98">
        <v>2.6</v>
      </c>
      <c r="Q12" s="93">
        <v>-0.86</v>
      </c>
      <c r="R12" s="97">
        <v>1.4999999999999999E-4</v>
      </c>
      <c r="T12" s="98">
        <v>330</v>
      </c>
      <c r="U12" s="98">
        <v>140</v>
      </c>
      <c r="V12" s="98" t="s">
        <v>250</v>
      </c>
      <c r="W12" s="98" t="s">
        <v>250</v>
      </c>
      <c r="X12" s="98">
        <v>0.11</v>
      </c>
      <c r="Y12" s="98">
        <v>0.15</v>
      </c>
      <c r="Z12" s="98">
        <v>2.9</v>
      </c>
      <c r="AA12" s="98">
        <v>1</v>
      </c>
      <c r="AB12" s="98">
        <v>1.46</v>
      </c>
      <c r="AC12" s="98">
        <v>0.54</v>
      </c>
      <c r="AD12" s="98">
        <v>1490</v>
      </c>
      <c r="AE12" s="98">
        <v>180</v>
      </c>
      <c r="AF12" s="95">
        <v>1.2999999999999999E-2</v>
      </c>
      <c r="AG12" s="97">
        <v>1.2E-2</v>
      </c>
      <c r="AH12" s="96">
        <v>26.5</v>
      </c>
      <c r="AI12" s="96">
        <v>3.6</v>
      </c>
      <c r="AJ12" s="95">
        <v>0.19</v>
      </c>
      <c r="AK12" s="95">
        <v>4.9000000000000002E-2</v>
      </c>
      <c r="AL12" s="96">
        <v>4.41</v>
      </c>
      <c r="AM12" s="96">
        <v>0.81</v>
      </c>
      <c r="AN12" s="96">
        <v>6.3</v>
      </c>
      <c r="AO12" s="96">
        <v>1.4</v>
      </c>
      <c r="AP12" s="96">
        <v>0.42</v>
      </c>
      <c r="AQ12" s="96">
        <v>0.17</v>
      </c>
      <c r="AR12" s="96">
        <v>28.1</v>
      </c>
      <c r="AS12" s="93">
        <v>4.5999999999999996</v>
      </c>
      <c r="AT12" s="96">
        <v>9.6</v>
      </c>
      <c r="AU12" s="96">
        <v>1.7</v>
      </c>
      <c r="AV12" s="99">
        <v>123</v>
      </c>
      <c r="AW12" s="98">
        <v>14</v>
      </c>
      <c r="AX12" s="98">
        <v>43.8</v>
      </c>
      <c r="AY12" s="98">
        <v>5.2</v>
      </c>
      <c r="AZ12" s="98">
        <v>234</v>
      </c>
      <c r="BA12" s="98">
        <v>26</v>
      </c>
      <c r="BB12" s="98">
        <v>46.5</v>
      </c>
      <c r="BC12" s="98">
        <v>5.6</v>
      </c>
      <c r="BD12" s="98">
        <v>394</v>
      </c>
      <c r="BE12" s="98">
        <v>50</v>
      </c>
      <c r="BF12" s="98">
        <v>73.3</v>
      </c>
      <c r="BG12" s="98">
        <v>9.1999999999999993</v>
      </c>
      <c r="BI12" s="93">
        <v>9</v>
      </c>
      <c r="BJ12" s="98">
        <v>3.1</v>
      </c>
      <c r="BK12" s="98">
        <v>551000</v>
      </c>
      <c r="BL12" s="98">
        <v>72000</v>
      </c>
      <c r="BM12" s="98">
        <v>9200</v>
      </c>
      <c r="BN12" s="98">
        <v>1200</v>
      </c>
      <c r="BO12" s="99">
        <v>253</v>
      </c>
      <c r="BP12" s="98">
        <v>22</v>
      </c>
      <c r="BQ12" s="99">
        <v>243</v>
      </c>
      <c r="BR12" s="98">
        <v>21</v>
      </c>
      <c r="BT12" s="95">
        <f t="shared" si="0"/>
        <v>0.61675126903553301</v>
      </c>
      <c r="BU12" s="96">
        <f t="shared" si="1"/>
        <v>6.0090702947845802</v>
      </c>
      <c r="BV12" s="96">
        <f t="shared" si="2"/>
        <v>59.891304347826086</v>
      </c>
      <c r="BW12" s="96">
        <f t="shared" si="3"/>
        <v>1.0411522633744856</v>
      </c>
      <c r="BX12" s="99">
        <f t="shared" si="26"/>
        <v>130.7320137078795</v>
      </c>
      <c r="BY12" s="96">
        <f t="shared" si="4"/>
        <v>6.0090702947845802</v>
      </c>
      <c r="BZ12" s="97">
        <f t="shared" si="5"/>
        <v>4.0329330837480405E-3</v>
      </c>
      <c r="CA12" s="95">
        <f t="shared" si="6"/>
        <v>9.6504927915867331E-2</v>
      </c>
      <c r="CB12" s="99">
        <f t="shared" si="20"/>
        <v>397.67864120319859</v>
      </c>
      <c r="CC12" s="99">
        <f t="shared" si="20"/>
        <v>34.367289980523331</v>
      </c>
      <c r="CD12" s="100">
        <f t="shared" si="21"/>
        <v>763.15997994127349</v>
      </c>
      <c r="CE12" s="100">
        <f t="shared" si="22"/>
        <v>804.11516163693011</v>
      </c>
      <c r="CF12" s="100">
        <f t="shared" si="23"/>
        <v>38.403682440415565</v>
      </c>
      <c r="CG12" s="96">
        <f t="shared" si="24"/>
        <v>0.86897035955375079</v>
      </c>
      <c r="CH12" s="96">
        <f t="shared" si="25"/>
        <v>0.47006967266268074</v>
      </c>
      <c r="CJ12" s="95">
        <f t="shared" si="27"/>
        <v>5.4852320675105488E-2</v>
      </c>
      <c r="CK12" s="93">
        <f t="shared" si="7"/>
        <v>43.300653594771241</v>
      </c>
      <c r="CL12" s="93">
        <f t="shared" si="8"/>
        <v>2</v>
      </c>
      <c r="CM12" s="93">
        <f t="shared" si="9"/>
        <v>9.4432548179871514</v>
      </c>
      <c r="CN12" s="93">
        <f t="shared" si="10"/>
        <v>41.176470588235297</v>
      </c>
      <c r="CO12" s="93">
        <f t="shared" si="11"/>
        <v>7.2413793103448265</v>
      </c>
      <c r="CP12" s="93">
        <f t="shared" si="12"/>
        <v>136.7396593673966</v>
      </c>
      <c r="CQ12" s="93">
        <f t="shared" si="13"/>
        <v>256.68449197860957</v>
      </c>
      <c r="CR12" s="93">
        <f t="shared" si="14"/>
        <v>484.25196850393701</v>
      </c>
      <c r="CS12" s="93">
        <f t="shared" si="15"/>
        <v>773.85159010600705</v>
      </c>
      <c r="CT12" s="93">
        <f t="shared" si="16"/>
        <v>1413.8972809667673</v>
      </c>
      <c r="CU12" s="93">
        <f t="shared" si="17"/>
        <v>1823.5294117647061</v>
      </c>
      <c r="CV12" s="93">
        <f t="shared" si="18"/>
        <v>2317.6470588235293</v>
      </c>
      <c r="CW12" s="93">
        <f t="shared" si="19"/>
        <v>2885.8267716535433</v>
      </c>
    </row>
    <row r="13" spans="1:101" s="98" customFormat="1">
      <c r="A13" s="3" t="s">
        <v>253</v>
      </c>
      <c r="B13" s="92" t="s">
        <v>244</v>
      </c>
      <c r="C13" s="3"/>
      <c r="D13" s="93">
        <v>11.04</v>
      </c>
      <c r="E13" s="94">
        <v>0.18922</v>
      </c>
      <c r="F13" s="94">
        <v>7.5000000000000002E-4</v>
      </c>
      <c r="G13" s="95">
        <v>13.835000000000001</v>
      </c>
      <c r="H13" s="96">
        <v>0.41</v>
      </c>
      <c r="I13" s="97">
        <v>0.53139999999999998</v>
      </c>
      <c r="J13" s="95">
        <v>1.4E-2</v>
      </c>
      <c r="K13" s="96">
        <v>0.76968000000000003</v>
      </c>
      <c r="M13" s="99">
        <v>2747.4</v>
      </c>
      <c r="N13" s="98">
        <v>61</v>
      </c>
      <c r="O13" s="99">
        <v>2735.7</v>
      </c>
      <c r="P13" s="98">
        <v>2.6</v>
      </c>
      <c r="Q13" s="93">
        <v>-0.43</v>
      </c>
      <c r="R13" s="97">
        <v>7.3999999999999999E-4</v>
      </c>
      <c r="T13" s="98">
        <v>550</v>
      </c>
      <c r="U13" s="98">
        <v>150</v>
      </c>
      <c r="V13" s="98">
        <v>0.1</v>
      </c>
      <c r="W13" s="98">
        <v>1.6</v>
      </c>
      <c r="X13" s="98">
        <v>0.47</v>
      </c>
      <c r="Y13" s="98">
        <v>0.3</v>
      </c>
      <c r="Z13" s="98">
        <v>4.5</v>
      </c>
      <c r="AA13" s="98">
        <v>1.4</v>
      </c>
      <c r="AB13" s="98">
        <v>1.72</v>
      </c>
      <c r="AC13" s="98">
        <v>0.65</v>
      </c>
      <c r="AD13" s="98">
        <v>5770</v>
      </c>
      <c r="AE13" s="98">
        <v>750</v>
      </c>
      <c r="AF13" s="95">
        <v>8.2000000000000003E-2</v>
      </c>
      <c r="AG13" s="97">
        <v>0.03</v>
      </c>
      <c r="AH13" s="96">
        <v>46.7</v>
      </c>
      <c r="AI13" s="96">
        <v>7.6</v>
      </c>
      <c r="AJ13" s="95">
        <v>0.98</v>
      </c>
      <c r="AK13" s="95">
        <v>0.14000000000000001</v>
      </c>
      <c r="AL13" s="96">
        <v>16.2</v>
      </c>
      <c r="AM13" s="96">
        <v>2.6</v>
      </c>
      <c r="AN13" s="96">
        <v>34</v>
      </c>
      <c r="AO13" s="96">
        <v>5.5</v>
      </c>
      <c r="AP13" s="96">
        <v>4.5599999999999996</v>
      </c>
      <c r="AQ13" s="96">
        <v>0.79</v>
      </c>
      <c r="AR13" s="96">
        <v>162</v>
      </c>
      <c r="AS13" s="93">
        <v>20</v>
      </c>
      <c r="AT13" s="96">
        <v>48.2</v>
      </c>
      <c r="AU13" s="96">
        <v>5.7</v>
      </c>
      <c r="AV13" s="99">
        <v>565</v>
      </c>
      <c r="AW13" s="98">
        <v>69</v>
      </c>
      <c r="AX13" s="98">
        <v>187</v>
      </c>
      <c r="AY13" s="98">
        <v>21</v>
      </c>
      <c r="AZ13" s="98">
        <v>820</v>
      </c>
      <c r="BA13" s="98">
        <v>110</v>
      </c>
      <c r="BB13" s="98">
        <v>157</v>
      </c>
      <c r="BC13" s="98">
        <v>23</v>
      </c>
      <c r="BD13" s="98">
        <v>1290</v>
      </c>
      <c r="BE13" s="98">
        <v>220</v>
      </c>
      <c r="BF13" s="98">
        <v>223</v>
      </c>
      <c r="BG13" s="98">
        <v>35</v>
      </c>
      <c r="BI13" s="93">
        <v>12.2</v>
      </c>
      <c r="BJ13" s="98">
        <v>3.4</v>
      </c>
      <c r="BK13" s="98">
        <v>592000</v>
      </c>
      <c r="BL13" s="98">
        <v>72000</v>
      </c>
      <c r="BM13" s="98">
        <v>8500</v>
      </c>
      <c r="BN13" s="98">
        <v>1200</v>
      </c>
      <c r="BO13" s="99">
        <v>448</v>
      </c>
      <c r="BP13" s="98">
        <v>51</v>
      </c>
      <c r="BQ13" s="99">
        <v>337</v>
      </c>
      <c r="BR13" s="98">
        <v>38</v>
      </c>
      <c r="BT13" s="95">
        <f t="shared" si="0"/>
        <v>0.26124031007751936</v>
      </c>
      <c r="BU13" s="96">
        <f t="shared" si="1"/>
        <v>2.8827160493827164</v>
      </c>
      <c r="BV13" s="96">
        <f t="shared" si="2"/>
        <v>69.647058823529406</v>
      </c>
      <c r="BW13" s="96">
        <f t="shared" si="3"/>
        <v>1.3293768545994065</v>
      </c>
      <c r="BX13" s="99">
        <f t="shared" si="26"/>
        <v>40.390708385126018</v>
      </c>
      <c r="BY13" s="96">
        <f t="shared" si="4"/>
        <v>2.8827160493827164</v>
      </c>
      <c r="BZ13" s="97">
        <f t="shared" si="5"/>
        <v>4.99604168003937E-4</v>
      </c>
      <c r="CA13" s="95">
        <f t="shared" si="6"/>
        <v>0.1878414845171017</v>
      </c>
      <c r="CB13" s="99">
        <f t="shared" si="20"/>
        <v>551.5131773064935</v>
      </c>
      <c r="CC13" s="99">
        <f t="shared" si="20"/>
        <v>62.18842948856603</v>
      </c>
      <c r="CD13" s="100">
        <f t="shared" si="21"/>
        <v>793.58744286667604</v>
      </c>
      <c r="CE13" s="100">
        <f t="shared" si="22"/>
        <v>837.03334382706805</v>
      </c>
      <c r="CF13" s="100">
        <f t="shared" si="23"/>
        <v>33.611829277161398</v>
      </c>
      <c r="CG13" s="96">
        <f t="shared" si="24"/>
        <v>1.3038824837303182</v>
      </c>
      <c r="CH13" s="96">
        <f t="shared" si="25"/>
        <v>0.49554920243289946</v>
      </c>
      <c r="CJ13" s="95">
        <f t="shared" si="27"/>
        <v>0.34599156118143465</v>
      </c>
      <c r="CK13" s="93">
        <f t="shared" si="7"/>
        <v>76.30718954248367</v>
      </c>
      <c r="CL13" s="93">
        <f t="shared" si="8"/>
        <v>10.315789473684211</v>
      </c>
      <c r="CM13" s="93">
        <f t="shared" si="9"/>
        <v>34.689507494646676</v>
      </c>
      <c r="CN13" s="93">
        <f t="shared" si="10"/>
        <v>222.22222222222223</v>
      </c>
      <c r="CO13" s="93">
        <f t="shared" si="11"/>
        <v>78.620689655172399</v>
      </c>
      <c r="CP13" s="93">
        <f t="shared" si="12"/>
        <v>788.32116788321173</v>
      </c>
      <c r="CQ13" s="93">
        <f t="shared" si="13"/>
        <v>1288.7700534759358</v>
      </c>
      <c r="CR13" s="93">
        <f t="shared" si="14"/>
        <v>2224.4094488188975</v>
      </c>
      <c r="CS13" s="93">
        <f t="shared" si="15"/>
        <v>3303.8869257950532</v>
      </c>
      <c r="CT13" s="93">
        <f t="shared" si="16"/>
        <v>4954.6827794561932</v>
      </c>
      <c r="CU13" s="93">
        <f t="shared" si="17"/>
        <v>6156.8627450980393</v>
      </c>
      <c r="CV13" s="93">
        <f t="shared" si="18"/>
        <v>7588.2352941176468</v>
      </c>
      <c r="CW13" s="93">
        <f t="shared" si="19"/>
        <v>8779.5275590551191</v>
      </c>
    </row>
    <row r="14" spans="1:101" s="98" customFormat="1">
      <c r="A14" s="3" t="s">
        <v>254</v>
      </c>
      <c r="B14" s="92" t="s">
        <v>244</v>
      </c>
      <c r="C14" s="3"/>
      <c r="D14" s="93">
        <v>11.048</v>
      </c>
      <c r="E14" s="94">
        <v>0.18953999999999999</v>
      </c>
      <c r="F14" s="94">
        <v>7.7999999999999999E-4</v>
      </c>
      <c r="G14" s="95">
        <v>13.874000000000001</v>
      </c>
      <c r="H14" s="96">
        <v>0.41</v>
      </c>
      <c r="I14" s="97">
        <v>0.53210000000000002</v>
      </c>
      <c r="J14" s="95">
        <v>1.4E-2</v>
      </c>
      <c r="K14" s="96">
        <v>0.78176999999999996</v>
      </c>
      <c r="M14" s="99">
        <v>2750.1</v>
      </c>
      <c r="N14" s="98">
        <v>61</v>
      </c>
      <c r="O14" s="99">
        <v>2738.1</v>
      </c>
      <c r="P14" s="98">
        <v>2.2000000000000002</v>
      </c>
      <c r="Q14" s="93">
        <v>-0.44</v>
      </c>
      <c r="R14" s="97">
        <v>7.6999999999999996E-4</v>
      </c>
      <c r="T14" s="98">
        <v>420</v>
      </c>
      <c r="U14" s="98">
        <v>150</v>
      </c>
      <c r="V14" s="98">
        <v>0.6</v>
      </c>
      <c r="W14" s="98">
        <v>1.4</v>
      </c>
      <c r="X14" s="98">
        <v>0.15</v>
      </c>
      <c r="Y14" s="98">
        <v>0.17</v>
      </c>
      <c r="Z14" s="98">
        <v>2.76</v>
      </c>
      <c r="AA14" s="98">
        <v>0.82</v>
      </c>
      <c r="AB14" s="98">
        <v>1.8</v>
      </c>
      <c r="AC14" s="98">
        <v>0.55000000000000004</v>
      </c>
      <c r="AD14" s="98">
        <v>4250</v>
      </c>
      <c r="AE14" s="98">
        <v>480</v>
      </c>
      <c r="AF14" s="95">
        <v>5.6000000000000001E-2</v>
      </c>
      <c r="AG14" s="97">
        <v>2.4E-2</v>
      </c>
      <c r="AH14" s="96">
        <v>33</v>
      </c>
      <c r="AI14" s="96">
        <v>4.8</v>
      </c>
      <c r="AJ14" s="95">
        <v>0.86</v>
      </c>
      <c r="AK14" s="95">
        <v>0.14000000000000001</v>
      </c>
      <c r="AL14" s="96">
        <v>8.6999999999999993</v>
      </c>
      <c r="AM14" s="96">
        <v>1.6</v>
      </c>
      <c r="AN14" s="96">
        <v>23.5</v>
      </c>
      <c r="AO14" s="96">
        <v>4.4000000000000004</v>
      </c>
      <c r="AP14" s="96">
        <v>2.87</v>
      </c>
      <c r="AQ14" s="96">
        <v>0.68</v>
      </c>
      <c r="AR14" s="96">
        <v>116</v>
      </c>
      <c r="AS14" s="93">
        <v>13</v>
      </c>
      <c r="AT14" s="96">
        <v>36.4</v>
      </c>
      <c r="AU14" s="96">
        <v>3.8</v>
      </c>
      <c r="AV14" s="99">
        <v>425</v>
      </c>
      <c r="AW14" s="98">
        <v>37</v>
      </c>
      <c r="AX14" s="98">
        <v>138</v>
      </c>
      <c r="AY14" s="98">
        <v>13</v>
      </c>
      <c r="AZ14" s="98">
        <v>647</v>
      </c>
      <c r="BA14" s="98">
        <v>61</v>
      </c>
      <c r="BB14" s="98">
        <v>122</v>
      </c>
      <c r="BC14" s="98">
        <v>17</v>
      </c>
      <c r="BD14" s="98">
        <v>1010</v>
      </c>
      <c r="BE14" s="98">
        <v>120</v>
      </c>
      <c r="BF14" s="98">
        <v>177</v>
      </c>
      <c r="BG14" s="98">
        <v>21</v>
      </c>
      <c r="BI14" s="93">
        <v>13.8</v>
      </c>
      <c r="BJ14" s="98">
        <v>3.7</v>
      </c>
      <c r="BK14" s="98">
        <v>565000</v>
      </c>
      <c r="BL14" s="98">
        <v>73000</v>
      </c>
      <c r="BM14" s="98">
        <v>9400</v>
      </c>
      <c r="BN14" s="98">
        <v>1200</v>
      </c>
      <c r="BO14" s="99">
        <v>421</v>
      </c>
      <c r="BP14" s="98">
        <v>44</v>
      </c>
      <c r="BQ14" s="99">
        <v>334</v>
      </c>
      <c r="BR14" s="98">
        <v>35</v>
      </c>
      <c r="BT14" s="95">
        <f t="shared" si="0"/>
        <v>0.33069306930693071</v>
      </c>
      <c r="BU14" s="96">
        <f t="shared" si="1"/>
        <v>3.7931034482758625</v>
      </c>
      <c r="BV14" s="96">
        <f t="shared" si="2"/>
        <v>60.106382978723403</v>
      </c>
      <c r="BW14" s="96">
        <f t="shared" si="3"/>
        <v>1.2604790419161678</v>
      </c>
      <c r="BX14" s="99">
        <f t="shared" si="26"/>
        <v>36.868481800858433</v>
      </c>
      <c r="BY14" s="96">
        <f t="shared" si="4"/>
        <v>3.7931034482758625</v>
      </c>
      <c r="BZ14" s="97">
        <f t="shared" si="5"/>
        <v>8.9249492900608535E-4</v>
      </c>
      <c r="CA14" s="95">
        <f t="shared" si="6"/>
        <v>0.1680515822943667</v>
      </c>
      <c r="CB14" s="99">
        <f t="shared" si="20"/>
        <v>546.60356445213301</v>
      </c>
      <c r="CC14" s="99">
        <f t="shared" si="20"/>
        <v>57.278816634205555</v>
      </c>
      <c r="CD14" s="100">
        <f t="shared" si="21"/>
        <v>806.42789602967389</v>
      </c>
      <c r="CE14" s="100">
        <f t="shared" si="22"/>
        <v>850.9478452799566</v>
      </c>
      <c r="CF14" s="100">
        <f t="shared" si="23"/>
        <v>33.24527261153758</v>
      </c>
      <c r="CG14" s="96">
        <f t="shared" si="24"/>
        <v>0.60315528615920644</v>
      </c>
      <c r="CH14" s="96">
        <f t="shared" si="25"/>
        <v>0.43750838896232658</v>
      </c>
      <c r="CJ14" s="95">
        <f t="shared" si="27"/>
        <v>0.23628691983122366</v>
      </c>
      <c r="CK14" s="93">
        <f t="shared" si="7"/>
        <v>53.921568627450981</v>
      </c>
      <c r="CL14" s="93">
        <f t="shared" si="8"/>
        <v>9.0526315789473681</v>
      </c>
      <c r="CM14" s="93">
        <f t="shared" si="9"/>
        <v>18.62955032119914</v>
      </c>
      <c r="CN14" s="93">
        <f t="shared" si="10"/>
        <v>153.59477124183007</v>
      </c>
      <c r="CO14" s="93">
        <f t="shared" si="11"/>
        <v>49.482758620689651</v>
      </c>
      <c r="CP14" s="93">
        <f t="shared" si="12"/>
        <v>564.47688564476891</v>
      </c>
      <c r="CQ14" s="93">
        <f t="shared" si="13"/>
        <v>973.26203208556137</v>
      </c>
      <c r="CR14" s="93">
        <f t="shared" si="14"/>
        <v>1673.2283464566929</v>
      </c>
      <c r="CS14" s="93">
        <f t="shared" si="15"/>
        <v>2438.1625441696115</v>
      </c>
      <c r="CT14" s="93">
        <f t="shared" si="16"/>
        <v>3909.3655589123864</v>
      </c>
      <c r="CU14" s="93">
        <f t="shared" si="17"/>
        <v>4784.3137254901967</v>
      </c>
      <c r="CV14" s="93">
        <f t="shared" si="18"/>
        <v>5941.1764705882351</v>
      </c>
      <c r="CW14" s="93">
        <f t="shared" si="19"/>
        <v>6968.5039370078739</v>
      </c>
    </row>
    <row r="15" spans="1:101" s="98" customFormat="1">
      <c r="A15" s="3" t="s">
        <v>255</v>
      </c>
      <c r="B15" s="92" t="s">
        <v>244</v>
      </c>
      <c r="C15" s="3"/>
      <c r="D15" s="93">
        <v>11.007999999999999</v>
      </c>
      <c r="E15" s="94">
        <v>0.18923000000000001</v>
      </c>
      <c r="F15" s="94">
        <v>7.6000000000000004E-4</v>
      </c>
      <c r="G15" s="95">
        <v>13.875</v>
      </c>
      <c r="H15" s="96">
        <v>0.41</v>
      </c>
      <c r="I15" s="97">
        <v>0.53300000000000003</v>
      </c>
      <c r="J15" s="95">
        <v>1.4E-2</v>
      </c>
      <c r="K15" s="96">
        <v>0.72248000000000001</v>
      </c>
      <c r="M15" s="99">
        <v>2754.1</v>
      </c>
      <c r="N15" s="98">
        <v>61</v>
      </c>
      <c r="O15" s="99">
        <v>2735.6</v>
      </c>
      <c r="P15" s="98">
        <v>3.1</v>
      </c>
      <c r="Q15" s="93">
        <v>-0.68</v>
      </c>
      <c r="R15" s="97">
        <v>5.8E-4</v>
      </c>
      <c r="T15" s="98">
        <v>330</v>
      </c>
      <c r="U15" s="98">
        <v>190</v>
      </c>
      <c r="V15" s="98">
        <v>0.1</v>
      </c>
      <c r="W15" s="98">
        <v>1.4</v>
      </c>
      <c r="X15" s="98">
        <v>0.16</v>
      </c>
      <c r="Y15" s="98">
        <v>0.15</v>
      </c>
      <c r="Z15" s="98">
        <v>1.97</v>
      </c>
      <c r="AA15" s="98">
        <v>0.95</v>
      </c>
      <c r="AB15" s="98">
        <v>1.22</v>
      </c>
      <c r="AC15" s="98">
        <v>0.47</v>
      </c>
      <c r="AD15" s="98">
        <v>3650</v>
      </c>
      <c r="AE15" s="98">
        <v>470</v>
      </c>
      <c r="AF15" s="95">
        <v>6.2E-2</v>
      </c>
      <c r="AG15" s="97">
        <v>0.04</v>
      </c>
      <c r="AH15" s="96">
        <v>26.2</v>
      </c>
      <c r="AI15" s="96">
        <v>3.8</v>
      </c>
      <c r="AJ15" s="95">
        <v>0.63</v>
      </c>
      <c r="AK15" s="95">
        <v>9.6000000000000002E-2</v>
      </c>
      <c r="AL15" s="96">
        <v>9</v>
      </c>
      <c r="AM15" s="96">
        <v>2</v>
      </c>
      <c r="AN15" s="96">
        <v>18.7</v>
      </c>
      <c r="AO15" s="96">
        <v>4.3</v>
      </c>
      <c r="AP15" s="96">
        <v>2.2799999999999998</v>
      </c>
      <c r="AQ15" s="96">
        <v>0.54</v>
      </c>
      <c r="AR15" s="96">
        <v>95</v>
      </c>
      <c r="AS15" s="93">
        <v>15</v>
      </c>
      <c r="AT15" s="96">
        <v>28.2</v>
      </c>
      <c r="AU15" s="96">
        <v>3.9</v>
      </c>
      <c r="AV15" s="99">
        <v>332</v>
      </c>
      <c r="AW15" s="98">
        <v>39</v>
      </c>
      <c r="AX15" s="98">
        <v>124</v>
      </c>
      <c r="AY15" s="98">
        <v>15</v>
      </c>
      <c r="AZ15" s="98">
        <v>582</v>
      </c>
      <c r="BA15" s="98">
        <v>82</v>
      </c>
      <c r="BB15" s="98">
        <v>111</v>
      </c>
      <c r="BC15" s="98">
        <v>16</v>
      </c>
      <c r="BD15" s="98">
        <v>900</v>
      </c>
      <c r="BE15" s="98">
        <v>130</v>
      </c>
      <c r="BF15" s="98">
        <v>163</v>
      </c>
      <c r="BG15" s="98">
        <v>23</v>
      </c>
      <c r="BI15" s="93">
        <v>9.4</v>
      </c>
      <c r="BJ15" s="98">
        <v>2.5</v>
      </c>
      <c r="BK15" s="98">
        <v>575000</v>
      </c>
      <c r="BL15" s="98">
        <v>86000</v>
      </c>
      <c r="BM15" s="98">
        <v>9200</v>
      </c>
      <c r="BN15" s="98">
        <v>1000</v>
      </c>
      <c r="BO15" s="99">
        <v>296</v>
      </c>
      <c r="BP15" s="98">
        <v>35</v>
      </c>
      <c r="BQ15" s="99">
        <v>257</v>
      </c>
      <c r="BR15" s="98">
        <v>31</v>
      </c>
      <c r="BT15" s="95">
        <f t="shared" si="0"/>
        <v>0.28555555555555556</v>
      </c>
      <c r="BU15" s="96">
        <f t="shared" si="1"/>
        <v>2.911111111111111</v>
      </c>
      <c r="BV15" s="96">
        <f t="shared" si="2"/>
        <v>62.5</v>
      </c>
      <c r="BW15" s="96">
        <f t="shared" si="3"/>
        <v>1.1517509727626458</v>
      </c>
      <c r="BX15" s="99">
        <f t="shared" si="26"/>
        <v>32.502721405677164</v>
      </c>
      <c r="BY15" s="96">
        <f t="shared" si="4"/>
        <v>2.911111111111111</v>
      </c>
      <c r="BZ15" s="97">
        <f t="shared" si="5"/>
        <v>7.9756468797564689E-4</v>
      </c>
      <c r="CA15" s="95">
        <f t="shared" si="6"/>
        <v>0.16537729193159639</v>
      </c>
      <c r="CB15" s="99">
        <f t="shared" si="20"/>
        <v>420.59016785688078</v>
      </c>
      <c r="CC15" s="99">
        <f t="shared" si="20"/>
        <v>50.732666161724921</v>
      </c>
      <c r="CD15" s="100">
        <f t="shared" si="21"/>
        <v>767.40263182661749</v>
      </c>
      <c r="CE15" s="100">
        <f t="shared" si="22"/>
        <v>808.70052271995098</v>
      </c>
      <c r="CF15" s="100">
        <f t="shared" si="23"/>
        <v>30.82517506477582</v>
      </c>
      <c r="CG15" s="96">
        <f t="shared" si="24"/>
        <v>0.76303314809442635</v>
      </c>
      <c r="CH15" s="96">
        <f t="shared" si="25"/>
        <v>0.4567284672017512</v>
      </c>
      <c r="CJ15" s="95">
        <f t="shared" si="27"/>
        <v>0.26160337552742619</v>
      </c>
      <c r="CK15" s="93">
        <f t="shared" si="7"/>
        <v>42.810457516339866</v>
      </c>
      <c r="CL15" s="93">
        <f t="shared" si="8"/>
        <v>6.6315789473684212</v>
      </c>
      <c r="CM15" s="93">
        <f t="shared" si="9"/>
        <v>19.271948608137045</v>
      </c>
      <c r="CN15" s="93">
        <f t="shared" si="10"/>
        <v>122.22222222222221</v>
      </c>
      <c r="CO15" s="93">
        <f t="shared" si="11"/>
        <v>39.310344827586199</v>
      </c>
      <c r="CP15" s="93">
        <f t="shared" si="12"/>
        <v>462.28710462287108</v>
      </c>
      <c r="CQ15" s="93">
        <f t="shared" si="13"/>
        <v>754.01069518716565</v>
      </c>
      <c r="CR15" s="93">
        <f t="shared" si="14"/>
        <v>1307.0866141732283</v>
      </c>
      <c r="CS15" s="93">
        <f t="shared" si="15"/>
        <v>2190.8127208480564</v>
      </c>
      <c r="CT15" s="93">
        <f t="shared" si="16"/>
        <v>3516.6163141993957</v>
      </c>
      <c r="CU15" s="93">
        <f t="shared" si="17"/>
        <v>4352.9411764705883</v>
      </c>
      <c r="CV15" s="93">
        <f t="shared" si="18"/>
        <v>5294.1176470588234</v>
      </c>
      <c r="CW15" s="93">
        <f t="shared" si="19"/>
        <v>6417.3228346456699</v>
      </c>
    </row>
    <row r="16" spans="1:101" s="98" customFormat="1">
      <c r="A16" s="3" t="s">
        <v>256</v>
      </c>
      <c r="B16" s="92" t="s">
        <v>244</v>
      </c>
      <c r="C16" s="3"/>
      <c r="D16" s="93">
        <v>11.048999999999999</v>
      </c>
      <c r="E16" s="94">
        <v>0.18947</v>
      </c>
      <c r="F16" s="94">
        <v>6.6E-4</v>
      </c>
      <c r="G16" s="95">
        <v>13.772</v>
      </c>
      <c r="H16" s="96">
        <v>0.4</v>
      </c>
      <c r="I16" s="97">
        <v>0.52849999999999997</v>
      </c>
      <c r="J16" s="95">
        <v>1.4E-2</v>
      </c>
      <c r="K16" s="96">
        <v>0.82584000000000002</v>
      </c>
      <c r="M16" s="99">
        <v>2734.9</v>
      </c>
      <c r="N16" s="98">
        <v>61</v>
      </c>
      <c r="O16" s="99">
        <v>2737.5</v>
      </c>
      <c r="P16" s="98">
        <v>3.1</v>
      </c>
      <c r="Q16" s="93">
        <v>0.1</v>
      </c>
      <c r="R16" s="97">
        <v>1.57E-3</v>
      </c>
      <c r="T16" s="98">
        <v>580</v>
      </c>
      <c r="U16" s="98">
        <v>160</v>
      </c>
      <c r="V16" s="98" t="s">
        <v>250</v>
      </c>
      <c r="W16" s="98" t="s">
        <v>250</v>
      </c>
      <c r="X16" s="98">
        <v>0.51</v>
      </c>
      <c r="Y16" s="98">
        <v>0.35</v>
      </c>
      <c r="Z16" s="98">
        <v>3.91</v>
      </c>
      <c r="AA16" s="98">
        <v>0.91</v>
      </c>
      <c r="AB16" s="98">
        <v>1.53</v>
      </c>
      <c r="AC16" s="98">
        <v>0.33</v>
      </c>
      <c r="AD16" s="98">
        <v>4770</v>
      </c>
      <c r="AE16" s="98">
        <v>330</v>
      </c>
      <c r="AF16" s="95">
        <v>6.0999999999999999E-2</v>
      </c>
      <c r="AG16" s="97">
        <v>0.02</v>
      </c>
      <c r="AH16" s="96">
        <v>43.9</v>
      </c>
      <c r="AI16" s="96">
        <v>4.2</v>
      </c>
      <c r="AJ16" s="95">
        <v>0.94</v>
      </c>
      <c r="AK16" s="95">
        <v>0.13</v>
      </c>
      <c r="AL16" s="96">
        <v>16.7</v>
      </c>
      <c r="AM16" s="96">
        <v>2.2999999999999998</v>
      </c>
      <c r="AN16" s="96">
        <v>33.6</v>
      </c>
      <c r="AO16" s="96">
        <v>4.8</v>
      </c>
      <c r="AP16" s="96">
        <v>3.4</v>
      </c>
      <c r="AQ16" s="96">
        <v>0.74</v>
      </c>
      <c r="AR16" s="96">
        <v>146</v>
      </c>
      <c r="AS16" s="93">
        <v>15</v>
      </c>
      <c r="AT16" s="96">
        <v>40.4</v>
      </c>
      <c r="AU16" s="96">
        <v>3.5</v>
      </c>
      <c r="AV16" s="99">
        <v>479</v>
      </c>
      <c r="AW16" s="98">
        <v>31</v>
      </c>
      <c r="AX16" s="98">
        <v>158</v>
      </c>
      <c r="AY16" s="98">
        <v>11</v>
      </c>
      <c r="AZ16" s="98">
        <v>698</v>
      </c>
      <c r="BA16" s="98">
        <v>72</v>
      </c>
      <c r="BB16" s="98">
        <v>129</v>
      </c>
      <c r="BC16" s="98">
        <v>11</v>
      </c>
      <c r="BD16" s="98">
        <v>986</v>
      </c>
      <c r="BE16" s="98">
        <v>83</v>
      </c>
      <c r="BF16" s="98">
        <v>175</v>
      </c>
      <c r="BG16" s="98">
        <v>17</v>
      </c>
      <c r="BI16" s="93">
        <v>13.8</v>
      </c>
      <c r="BJ16" s="98">
        <v>4.2</v>
      </c>
      <c r="BK16" s="98">
        <v>588000</v>
      </c>
      <c r="BL16" s="98">
        <v>54000</v>
      </c>
      <c r="BM16" s="98">
        <v>8530</v>
      </c>
      <c r="BN16" s="98">
        <v>700</v>
      </c>
      <c r="BO16" s="99">
        <v>383</v>
      </c>
      <c r="BP16" s="98">
        <v>21</v>
      </c>
      <c r="BQ16" s="99">
        <v>299</v>
      </c>
      <c r="BR16" s="98">
        <v>17</v>
      </c>
      <c r="BT16" s="95">
        <f t="shared" si="0"/>
        <v>0.30324543610547666</v>
      </c>
      <c r="BU16" s="96">
        <f t="shared" si="1"/>
        <v>2.6287425149700598</v>
      </c>
      <c r="BV16" s="96">
        <f t="shared" si="2"/>
        <v>68.933177022274322</v>
      </c>
      <c r="BW16" s="96">
        <f t="shared" si="3"/>
        <v>1.2809364548494984</v>
      </c>
      <c r="BX16" s="99">
        <f t="shared" si="26"/>
        <v>44.94902020327541</v>
      </c>
      <c r="BY16" s="96">
        <f t="shared" si="4"/>
        <v>2.6287425149700598</v>
      </c>
      <c r="BZ16" s="97">
        <f t="shared" si="5"/>
        <v>5.5109905974215089E-4</v>
      </c>
      <c r="CA16" s="95">
        <f t="shared" si="6"/>
        <v>0.14840771739394568</v>
      </c>
      <c r="CB16" s="99">
        <f t="shared" si="20"/>
        <v>489.32474781792746</v>
      </c>
      <c r="CC16" s="99">
        <f t="shared" si="20"/>
        <v>27.821139508042698</v>
      </c>
      <c r="CD16" s="100">
        <f t="shared" si="21"/>
        <v>806.42789602967389</v>
      </c>
      <c r="CE16" s="100">
        <f t="shared" si="22"/>
        <v>850.9478452799566</v>
      </c>
      <c r="CF16" s="100">
        <f t="shared" si="23"/>
        <v>37.133306781248926</v>
      </c>
      <c r="CG16" s="96">
        <f t="shared" si="24"/>
        <v>1.1936282823943341</v>
      </c>
      <c r="CH16" s="96">
        <f t="shared" si="25"/>
        <v>0.38783633598914774</v>
      </c>
      <c r="CJ16" s="95">
        <f t="shared" si="27"/>
        <v>0.25738396624472576</v>
      </c>
      <c r="CK16" s="93">
        <f t="shared" si="7"/>
        <v>71.732026143790847</v>
      </c>
      <c r="CL16" s="93">
        <f t="shared" si="8"/>
        <v>9.8947368421052619</v>
      </c>
      <c r="CM16" s="93">
        <f t="shared" si="9"/>
        <v>35.760171306209848</v>
      </c>
      <c r="CN16" s="93">
        <f t="shared" si="10"/>
        <v>219.60784313725492</v>
      </c>
      <c r="CO16" s="93">
        <f t="shared" si="11"/>
        <v>58.620689655172413</v>
      </c>
      <c r="CP16" s="93">
        <f t="shared" si="12"/>
        <v>710.46228710462287</v>
      </c>
      <c r="CQ16" s="93">
        <f t="shared" si="13"/>
        <v>1080.2139037433153</v>
      </c>
      <c r="CR16" s="93">
        <f t="shared" si="14"/>
        <v>1885.8267716535433</v>
      </c>
      <c r="CS16" s="93">
        <f t="shared" si="15"/>
        <v>2791.5194346289754</v>
      </c>
      <c r="CT16" s="93">
        <f t="shared" si="16"/>
        <v>4217.5226586102717</v>
      </c>
      <c r="CU16" s="93">
        <f t="shared" si="17"/>
        <v>5058.8235294117649</v>
      </c>
      <c r="CV16" s="93">
        <f t="shared" si="18"/>
        <v>5800</v>
      </c>
      <c r="CW16" s="93">
        <f t="shared" si="19"/>
        <v>6889.7637795275596</v>
      </c>
    </row>
    <row r="17" spans="1:101" s="98" customFormat="1">
      <c r="A17" s="3" t="s">
        <v>257</v>
      </c>
      <c r="B17" s="92" t="s">
        <v>244</v>
      </c>
      <c r="C17" s="3"/>
      <c r="D17" s="93">
        <v>11.055</v>
      </c>
      <c r="E17" s="94">
        <v>0.18948999999999999</v>
      </c>
      <c r="F17" s="94">
        <v>8.1999999999999998E-4</v>
      </c>
      <c r="G17" s="95">
        <v>13.856999999999999</v>
      </c>
      <c r="H17" s="96">
        <v>0.41</v>
      </c>
      <c r="I17" s="97">
        <v>0.53169999999999995</v>
      </c>
      <c r="J17" s="95">
        <v>1.4E-2</v>
      </c>
      <c r="K17" s="96">
        <v>0.69972000000000001</v>
      </c>
      <c r="M17" s="99">
        <v>2748.6</v>
      </c>
      <c r="N17" s="98">
        <v>61</v>
      </c>
      <c r="O17" s="99">
        <v>2737.3</v>
      </c>
      <c r="P17" s="98">
        <v>2.8</v>
      </c>
      <c r="Q17" s="93">
        <v>-0.41</v>
      </c>
      <c r="R17" s="97">
        <v>6.9999999999999999E-4</v>
      </c>
      <c r="T17" s="98">
        <v>270</v>
      </c>
      <c r="U17" s="98">
        <v>170</v>
      </c>
      <c r="V17" s="98" t="s">
        <v>250</v>
      </c>
      <c r="W17" s="98" t="s">
        <v>250</v>
      </c>
      <c r="X17" s="98">
        <v>0.33</v>
      </c>
      <c r="Y17" s="98">
        <v>0.3</v>
      </c>
      <c r="Z17" s="98">
        <v>2.0499999999999998</v>
      </c>
      <c r="AA17" s="98">
        <v>0.96</v>
      </c>
      <c r="AB17" s="98">
        <v>0.71</v>
      </c>
      <c r="AC17" s="98">
        <v>0.3</v>
      </c>
      <c r="AD17" s="98">
        <v>2820</v>
      </c>
      <c r="AE17" s="98">
        <v>310</v>
      </c>
      <c r="AF17" s="95">
        <v>3.2000000000000001E-2</v>
      </c>
      <c r="AG17" s="97">
        <v>2.1999999999999999E-2</v>
      </c>
      <c r="AH17" s="96">
        <v>26.9</v>
      </c>
      <c r="AI17" s="96">
        <v>2.8</v>
      </c>
      <c r="AJ17" s="95">
        <v>0.52</v>
      </c>
      <c r="AK17" s="95">
        <v>0.12</v>
      </c>
      <c r="AL17" s="96">
        <v>10</v>
      </c>
      <c r="AM17" s="96">
        <v>1.6</v>
      </c>
      <c r="AN17" s="96">
        <v>19.5</v>
      </c>
      <c r="AO17" s="96">
        <v>3.3</v>
      </c>
      <c r="AP17" s="96">
        <v>1.77</v>
      </c>
      <c r="AQ17" s="96">
        <v>0.51</v>
      </c>
      <c r="AR17" s="96">
        <v>86.4</v>
      </c>
      <c r="AS17" s="93">
        <v>9.5</v>
      </c>
      <c r="AT17" s="96">
        <v>22.7</v>
      </c>
      <c r="AU17" s="96">
        <v>2.2000000000000002</v>
      </c>
      <c r="AV17" s="99">
        <v>272</v>
      </c>
      <c r="AW17" s="98">
        <v>24</v>
      </c>
      <c r="AX17" s="98">
        <v>94.8</v>
      </c>
      <c r="AY17" s="98">
        <v>8.4</v>
      </c>
      <c r="AZ17" s="98">
        <v>428</v>
      </c>
      <c r="BA17" s="98">
        <v>41</v>
      </c>
      <c r="BB17" s="98">
        <v>75.5</v>
      </c>
      <c r="BC17" s="98">
        <v>5.9</v>
      </c>
      <c r="BD17" s="98">
        <v>684</v>
      </c>
      <c r="BE17" s="98">
        <v>74</v>
      </c>
      <c r="BF17" s="98">
        <v>122</v>
      </c>
      <c r="BG17" s="98">
        <v>14</v>
      </c>
      <c r="BI17" s="93">
        <v>8.9</v>
      </c>
      <c r="BJ17" s="98">
        <v>3.2</v>
      </c>
      <c r="BK17" s="98">
        <v>559000</v>
      </c>
      <c r="BL17" s="98">
        <v>61000</v>
      </c>
      <c r="BM17" s="98">
        <v>8620</v>
      </c>
      <c r="BN17" s="98">
        <v>900</v>
      </c>
      <c r="BO17" s="99">
        <v>217</v>
      </c>
      <c r="BP17" s="98">
        <v>14</v>
      </c>
      <c r="BQ17" s="99">
        <v>195</v>
      </c>
      <c r="BR17" s="98">
        <v>13</v>
      </c>
      <c r="BT17" s="95">
        <f t="shared" si="0"/>
        <v>0.28508771929824561</v>
      </c>
      <c r="BU17" s="96">
        <f t="shared" si="1"/>
        <v>2.69</v>
      </c>
      <c r="BV17" s="96">
        <f t="shared" si="2"/>
        <v>64.849187935034806</v>
      </c>
      <c r="BW17" s="96">
        <f t="shared" si="3"/>
        <v>1.1128205128205129</v>
      </c>
      <c r="BX17" s="99">
        <f t="shared" si="26"/>
        <v>51.128161048844959</v>
      </c>
      <c r="BY17" s="96">
        <f t="shared" si="4"/>
        <v>2.69</v>
      </c>
      <c r="BZ17" s="97">
        <f t="shared" si="5"/>
        <v>9.5390070921985812E-4</v>
      </c>
      <c r="CA17" s="95">
        <f t="shared" si="6"/>
        <v>0.13183257179453009</v>
      </c>
      <c r="CB17" s="99">
        <f t="shared" si="20"/>
        <v>319.12483553343094</v>
      </c>
      <c r="CC17" s="99">
        <f t="shared" si="20"/>
        <v>21.274989035562065</v>
      </c>
      <c r="CD17" s="100">
        <f t="shared" si="21"/>
        <v>762.07543096311917</v>
      </c>
      <c r="CE17" s="100">
        <f t="shared" si="22"/>
        <v>802.94324403655708</v>
      </c>
      <c r="CF17" s="100">
        <f t="shared" si="23"/>
        <v>39.851799463603406</v>
      </c>
      <c r="CG17" s="96">
        <f t="shared" si="24"/>
        <v>1.095277128990757</v>
      </c>
      <c r="CH17" s="96">
        <f t="shared" si="25"/>
        <v>0.44234240032390998</v>
      </c>
      <c r="CJ17" s="95">
        <f t="shared" si="27"/>
        <v>0.13502109704641352</v>
      </c>
      <c r="CK17" s="93">
        <f t="shared" si="7"/>
        <v>43.954248366013069</v>
      </c>
      <c r="CL17" s="93">
        <f t="shared" si="8"/>
        <v>5.4736842105263159</v>
      </c>
      <c r="CM17" s="93">
        <f t="shared" si="9"/>
        <v>21.413276231263382</v>
      </c>
      <c r="CN17" s="93">
        <f t="shared" si="10"/>
        <v>127.45098039215686</v>
      </c>
      <c r="CO17" s="93">
        <f t="shared" si="11"/>
        <v>30.517241379310345</v>
      </c>
      <c r="CP17" s="93">
        <f t="shared" si="12"/>
        <v>420.43795620437959</v>
      </c>
      <c r="CQ17" s="93">
        <f t="shared" si="13"/>
        <v>606.95187165775394</v>
      </c>
      <c r="CR17" s="93">
        <f t="shared" si="14"/>
        <v>1070.8661417322835</v>
      </c>
      <c r="CS17" s="93">
        <f t="shared" si="15"/>
        <v>1674.9116607773851</v>
      </c>
      <c r="CT17" s="93">
        <f t="shared" si="16"/>
        <v>2586.1027190332325</v>
      </c>
      <c r="CU17" s="93">
        <f t="shared" si="17"/>
        <v>2960.7843137254904</v>
      </c>
      <c r="CV17" s="93">
        <f t="shared" si="18"/>
        <v>4023.5294117647054</v>
      </c>
      <c r="CW17" s="93">
        <f t="shared" si="19"/>
        <v>4803.1496062992128</v>
      </c>
    </row>
    <row r="18" spans="1:101" s="98" customFormat="1">
      <c r="A18" s="3" t="s">
        <v>258</v>
      </c>
      <c r="B18" s="92" t="s">
        <v>244</v>
      </c>
      <c r="C18" s="3"/>
      <c r="D18" s="93">
        <v>11.019</v>
      </c>
      <c r="E18" s="94">
        <v>0.18956999999999999</v>
      </c>
      <c r="F18" s="94">
        <v>8.3000000000000001E-4</v>
      </c>
      <c r="G18" s="95">
        <v>13.815</v>
      </c>
      <c r="H18" s="96">
        <v>0.41</v>
      </c>
      <c r="I18" s="97">
        <v>0.52990000000000004</v>
      </c>
      <c r="J18" s="95">
        <v>1.4E-2</v>
      </c>
      <c r="K18" s="96">
        <v>0.73629999999999995</v>
      </c>
      <c r="M18" s="99">
        <v>2741</v>
      </c>
      <c r="N18" s="98">
        <v>61</v>
      </c>
      <c r="O18" s="99">
        <v>2738.5</v>
      </c>
      <c r="P18" s="98">
        <v>3</v>
      </c>
      <c r="Q18" s="93">
        <v>-0.09</v>
      </c>
      <c r="R18" s="97">
        <v>1.5200000000000001E-3</v>
      </c>
      <c r="T18" s="98">
        <v>280</v>
      </c>
      <c r="U18" s="98">
        <v>140</v>
      </c>
      <c r="V18" s="98">
        <v>0.2</v>
      </c>
      <c r="W18" s="98">
        <v>1.6</v>
      </c>
      <c r="X18" s="98">
        <v>0.33</v>
      </c>
      <c r="Y18" s="98">
        <v>0.24</v>
      </c>
      <c r="Z18" s="98">
        <v>1.57</v>
      </c>
      <c r="AA18" s="98">
        <v>0.62</v>
      </c>
      <c r="AB18" s="98">
        <v>0.97</v>
      </c>
      <c r="AC18" s="98">
        <v>0.38</v>
      </c>
      <c r="AD18" s="98">
        <v>2630</v>
      </c>
      <c r="AE18" s="98">
        <v>230</v>
      </c>
      <c r="AF18" s="95">
        <v>2.9000000000000001E-2</v>
      </c>
      <c r="AG18" s="97">
        <v>1.7999999999999999E-2</v>
      </c>
      <c r="AH18" s="96">
        <v>19.3</v>
      </c>
      <c r="AI18" s="96">
        <v>2.5</v>
      </c>
      <c r="AJ18" s="95">
        <v>0.52</v>
      </c>
      <c r="AK18" s="95">
        <v>9.9000000000000005E-2</v>
      </c>
      <c r="AL18" s="96">
        <v>7.2</v>
      </c>
      <c r="AM18" s="96">
        <v>1.5</v>
      </c>
      <c r="AN18" s="96">
        <v>12.6</v>
      </c>
      <c r="AO18" s="96">
        <v>2.6</v>
      </c>
      <c r="AP18" s="96">
        <v>1.37</v>
      </c>
      <c r="AQ18" s="96">
        <v>0.28999999999999998</v>
      </c>
      <c r="AR18" s="96">
        <v>78.400000000000006</v>
      </c>
      <c r="AS18" s="93">
        <v>7.7</v>
      </c>
      <c r="AT18" s="96">
        <v>22.3</v>
      </c>
      <c r="AU18" s="96">
        <v>3.1</v>
      </c>
      <c r="AV18" s="99">
        <v>261</v>
      </c>
      <c r="AW18" s="98">
        <v>23</v>
      </c>
      <c r="AX18" s="98">
        <v>85.7</v>
      </c>
      <c r="AY18" s="98">
        <v>7.6</v>
      </c>
      <c r="AZ18" s="98">
        <v>422</v>
      </c>
      <c r="BA18" s="98">
        <v>35</v>
      </c>
      <c r="BB18" s="98">
        <v>73.8</v>
      </c>
      <c r="BC18" s="98">
        <v>5</v>
      </c>
      <c r="BD18" s="98">
        <v>635</v>
      </c>
      <c r="BE18" s="98">
        <v>49</v>
      </c>
      <c r="BF18" s="98">
        <v>123</v>
      </c>
      <c r="BG18" s="98">
        <v>15</v>
      </c>
      <c r="BI18" s="93">
        <v>11.6</v>
      </c>
      <c r="BJ18" s="98">
        <v>3.9</v>
      </c>
      <c r="BK18" s="98">
        <v>579000</v>
      </c>
      <c r="BL18" s="98">
        <v>75000</v>
      </c>
      <c r="BM18" s="98">
        <v>8580</v>
      </c>
      <c r="BN18" s="98">
        <v>820</v>
      </c>
      <c r="BO18" s="99">
        <v>153</v>
      </c>
      <c r="BP18" s="98">
        <v>11</v>
      </c>
      <c r="BQ18" s="99">
        <v>146</v>
      </c>
      <c r="BR18" s="98">
        <v>11</v>
      </c>
      <c r="BT18" s="95">
        <f t="shared" si="0"/>
        <v>0.22992125984251968</v>
      </c>
      <c r="BU18" s="96">
        <f t="shared" si="1"/>
        <v>2.6805555555555558</v>
      </c>
      <c r="BV18" s="96">
        <f t="shared" si="2"/>
        <v>67.48251748251748</v>
      </c>
      <c r="BW18" s="96">
        <f t="shared" si="3"/>
        <v>1.047945205479452</v>
      </c>
      <c r="BX18" s="99">
        <f t="shared" si="26"/>
        <v>38.533742574817545</v>
      </c>
      <c r="BY18" s="96">
        <f t="shared" si="4"/>
        <v>2.6805555555555558</v>
      </c>
      <c r="BZ18" s="97">
        <f t="shared" si="5"/>
        <v>1.01922264469793E-3</v>
      </c>
      <c r="CA18" s="95">
        <f t="shared" si="6"/>
        <v>0.1332603342363316</v>
      </c>
      <c r="CB18" s="99">
        <f t="shared" si="20"/>
        <v>238.93449224554317</v>
      </c>
      <c r="CC18" s="99">
        <f t="shared" si="20"/>
        <v>18.001913799321745</v>
      </c>
      <c r="CD18" s="100">
        <f t="shared" si="21"/>
        <v>788.42035656487189</v>
      </c>
      <c r="CE18" s="100">
        <f t="shared" si="22"/>
        <v>831.43790202642856</v>
      </c>
      <c r="CF18" s="100">
        <f t="shared" si="23"/>
        <v>39.324794768162462</v>
      </c>
      <c r="CG18" s="96">
        <f t="shared" si="24"/>
        <v>0.54111367184933656</v>
      </c>
      <c r="CH18" s="96">
        <f t="shared" si="25"/>
        <v>0.43827812686382528</v>
      </c>
      <c r="CJ18" s="95">
        <f t="shared" si="27"/>
        <v>0.12236286919831225</v>
      </c>
      <c r="CK18" s="93">
        <f t="shared" si="7"/>
        <v>31.535947712418302</v>
      </c>
      <c r="CL18" s="93">
        <f t="shared" si="8"/>
        <v>5.4736842105263159</v>
      </c>
      <c r="CM18" s="93">
        <f t="shared" si="9"/>
        <v>15.417558886509635</v>
      </c>
      <c r="CN18" s="93">
        <f t="shared" si="10"/>
        <v>82.352941176470594</v>
      </c>
      <c r="CO18" s="93">
        <f t="shared" si="11"/>
        <v>23.620689655172413</v>
      </c>
      <c r="CP18" s="93">
        <f t="shared" si="12"/>
        <v>381.50851581508522</v>
      </c>
      <c r="CQ18" s="93">
        <f t="shared" si="13"/>
        <v>596.2566844919786</v>
      </c>
      <c r="CR18" s="93">
        <f t="shared" si="14"/>
        <v>1027.5590551181101</v>
      </c>
      <c r="CS18" s="93">
        <f t="shared" si="15"/>
        <v>1514.1342756183747</v>
      </c>
      <c r="CT18" s="93">
        <f t="shared" si="16"/>
        <v>2549.848942598187</v>
      </c>
      <c r="CU18" s="93">
        <f t="shared" si="17"/>
        <v>2894.1176470588234</v>
      </c>
      <c r="CV18" s="93">
        <f t="shared" si="18"/>
        <v>3735.2941176470586</v>
      </c>
      <c r="CW18" s="93">
        <f t="shared" si="19"/>
        <v>4842.5196850393704</v>
      </c>
    </row>
    <row r="19" spans="1:101" s="98" customFormat="1">
      <c r="A19" s="3" t="s">
        <v>259</v>
      </c>
      <c r="B19" s="92" t="s">
        <v>244</v>
      </c>
      <c r="C19" s="3"/>
      <c r="D19" s="93">
        <v>11.02</v>
      </c>
      <c r="E19" s="94">
        <v>0.18944</v>
      </c>
      <c r="F19" s="94">
        <v>8.1999999999999998E-4</v>
      </c>
      <c r="G19" s="95">
        <v>13.84</v>
      </c>
      <c r="H19" s="96">
        <v>0.41</v>
      </c>
      <c r="I19" s="97">
        <v>0.53129999999999999</v>
      </c>
      <c r="J19" s="95">
        <v>1.4E-2</v>
      </c>
      <c r="K19" s="96">
        <v>0.76327</v>
      </c>
      <c r="M19" s="99">
        <v>2747</v>
      </c>
      <c r="N19" s="98">
        <v>61</v>
      </c>
      <c r="O19" s="99">
        <v>2737.5</v>
      </c>
      <c r="P19" s="98">
        <v>3.1</v>
      </c>
      <c r="Q19" s="93">
        <v>-0.35</v>
      </c>
      <c r="R19" s="97">
        <v>9.7000000000000005E-4</v>
      </c>
      <c r="T19" s="98">
        <v>580</v>
      </c>
      <c r="U19" s="98">
        <v>140</v>
      </c>
      <c r="V19" s="98">
        <v>0.3</v>
      </c>
      <c r="W19" s="98">
        <v>1.6</v>
      </c>
      <c r="X19" s="98">
        <v>0.26</v>
      </c>
      <c r="Y19" s="98">
        <v>0.21</v>
      </c>
      <c r="Z19" s="98">
        <v>3.12</v>
      </c>
      <c r="AA19" s="98">
        <v>0.84</v>
      </c>
      <c r="AB19" s="98">
        <v>1.07</v>
      </c>
      <c r="AC19" s="98">
        <v>0.46</v>
      </c>
      <c r="AD19" s="98">
        <v>4190</v>
      </c>
      <c r="AE19" s="98">
        <v>400</v>
      </c>
      <c r="AF19" s="95">
        <v>0.104</v>
      </c>
      <c r="AG19" s="97">
        <v>3.6999999999999998E-2</v>
      </c>
      <c r="AH19" s="96">
        <v>28.4</v>
      </c>
      <c r="AI19" s="96">
        <v>3.7</v>
      </c>
      <c r="AJ19" s="95">
        <v>0.76</v>
      </c>
      <c r="AK19" s="95">
        <v>0.16</v>
      </c>
      <c r="AL19" s="96">
        <v>11.7</v>
      </c>
      <c r="AM19" s="96">
        <v>1.3</v>
      </c>
      <c r="AN19" s="96">
        <v>26.1</v>
      </c>
      <c r="AO19" s="96">
        <v>3.8</v>
      </c>
      <c r="AP19" s="96">
        <v>2.58</v>
      </c>
      <c r="AQ19" s="96">
        <v>0.33</v>
      </c>
      <c r="AR19" s="96">
        <v>118</v>
      </c>
      <c r="AS19" s="93">
        <v>15</v>
      </c>
      <c r="AT19" s="96">
        <v>35.299999999999997</v>
      </c>
      <c r="AU19" s="96">
        <v>4.3</v>
      </c>
      <c r="AV19" s="99">
        <v>399</v>
      </c>
      <c r="AW19" s="98">
        <v>37</v>
      </c>
      <c r="AX19" s="98">
        <v>134</v>
      </c>
      <c r="AY19" s="98">
        <v>12</v>
      </c>
      <c r="AZ19" s="98">
        <v>622</v>
      </c>
      <c r="BA19" s="98">
        <v>60</v>
      </c>
      <c r="BB19" s="98">
        <v>115</v>
      </c>
      <c r="BC19" s="98">
        <v>11</v>
      </c>
      <c r="BD19" s="98">
        <v>950</v>
      </c>
      <c r="BE19" s="98">
        <v>110</v>
      </c>
      <c r="BF19" s="98">
        <v>172</v>
      </c>
      <c r="BG19" s="98">
        <v>17</v>
      </c>
      <c r="BI19" s="93">
        <v>13.6</v>
      </c>
      <c r="BJ19" s="98">
        <v>3.6</v>
      </c>
      <c r="BK19" s="98">
        <v>604000</v>
      </c>
      <c r="BL19" s="98">
        <v>70000</v>
      </c>
      <c r="BM19" s="98">
        <v>8900</v>
      </c>
      <c r="BN19" s="98">
        <v>980</v>
      </c>
      <c r="BO19" s="99">
        <v>262</v>
      </c>
      <c r="BP19" s="98">
        <v>19</v>
      </c>
      <c r="BQ19" s="99">
        <v>208</v>
      </c>
      <c r="BR19" s="98">
        <v>15</v>
      </c>
      <c r="BT19" s="95">
        <f t="shared" si="0"/>
        <v>0.21894736842105264</v>
      </c>
      <c r="BU19" s="96">
        <f t="shared" si="1"/>
        <v>2.4273504273504272</v>
      </c>
      <c r="BV19" s="96">
        <f t="shared" si="2"/>
        <v>67.865168539325836</v>
      </c>
      <c r="BW19" s="96">
        <f t="shared" si="3"/>
        <v>1.2596153846153846</v>
      </c>
      <c r="BX19" s="99">
        <f t="shared" si="26"/>
        <v>24.767343517667975</v>
      </c>
      <c r="BY19" s="96">
        <f t="shared" si="4"/>
        <v>2.4273504273504272</v>
      </c>
      <c r="BZ19" s="97">
        <f t="shared" si="5"/>
        <v>5.7931991106215444E-4</v>
      </c>
      <c r="CA19" s="95">
        <f t="shared" si="6"/>
        <v>0.14212879813753185</v>
      </c>
      <c r="CB19" s="99">
        <f t="shared" si="20"/>
        <v>340.39982456899304</v>
      </c>
      <c r="CC19" s="99">
        <f t="shared" si="20"/>
        <v>24.548064271802382</v>
      </c>
      <c r="CD19" s="100">
        <f t="shared" si="21"/>
        <v>804.8906289452176</v>
      </c>
      <c r="CE19" s="100">
        <f t="shared" si="22"/>
        <v>849.28127324747754</v>
      </c>
      <c r="CF19" s="100">
        <f t="shared" si="23"/>
        <v>32.79548442114551</v>
      </c>
      <c r="CG19" s="96">
        <f t="shared" si="24"/>
        <v>0.76601134604436072</v>
      </c>
      <c r="CH19" s="96">
        <f t="shared" si="25"/>
        <v>0.39319721732804097</v>
      </c>
      <c r="CJ19" s="95">
        <f t="shared" si="27"/>
        <v>0.43881856540084391</v>
      </c>
      <c r="CK19" s="93">
        <f t="shared" si="7"/>
        <v>46.405228758169933</v>
      </c>
      <c r="CL19" s="93">
        <f t="shared" si="8"/>
        <v>8</v>
      </c>
      <c r="CM19" s="93">
        <f t="shared" si="9"/>
        <v>25.053533190578154</v>
      </c>
      <c r="CN19" s="93">
        <f t="shared" si="10"/>
        <v>170.58823529411765</v>
      </c>
      <c r="CO19" s="93">
        <f t="shared" si="11"/>
        <v>44.482758620689651</v>
      </c>
      <c r="CP19" s="93">
        <f t="shared" si="12"/>
        <v>574.20924574209243</v>
      </c>
      <c r="CQ19" s="93">
        <f t="shared" si="13"/>
        <v>943.85026737967905</v>
      </c>
      <c r="CR19" s="93">
        <f t="shared" si="14"/>
        <v>1570.8661417322835</v>
      </c>
      <c r="CS19" s="93">
        <f t="shared" si="15"/>
        <v>2367.4911660777384</v>
      </c>
      <c r="CT19" s="93">
        <f t="shared" si="16"/>
        <v>3758.3081570996978</v>
      </c>
      <c r="CU19" s="93">
        <f t="shared" si="17"/>
        <v>4509.8039215686276</v>
      </c>
      <c r="CV19" s="93">
        <f t="shared" si="18"/>
        <v>5588.2352941176468</v>
      </c>
      <c r="CW19" s="93">
        <f t="shared" si="19"/>
        <v>6771.6535433070867</v>
      </c>
    </row>
    <row r="20" spans="1:101" s="98" customFormat="1">
      <c r="A20" s="3" t="s">
        <v>260</v>
      </c>
      <c r="B20" s="92" t="s">
        <v>244</v>
      </c>
      <c r="C20" s="3"/>
      <c r="D20" s="93">
        <v>11.009</v>
      </c>
      <c r="E20" s="94">
        <v>0.18901999999999999</v>
      </c>
      <c r="F20" s="94">
        <v>7.7999999999999999E-4</v>
      </c>
      <c r="G20" s="95">
        <v>13.782</v>
      </c>
      <c r="H20" s="96">
        <v>0.41</v>
      </c>
      <c r="I20" s="97">
        <v>0.53029999999999999</v>
      </c>
      <c r="J20" s="95">
        <v>1.4E-2</v>
      </c>
      <c r="K20" s="96">
        <v>0.80862999999999996</v>
      </c>
      <c r="M20" s="99">
        <v>2742.5</v>
      </c>
      <c r="N20" s="98">
        <v>61</v>
      </c>
      <c r="O20" s="99">
        <v>2734</v>
      </c>
      <c r="P20" s="98">
        <v>3.6</v>
      </c>
      <c r="Q20" s="93">
        <v>-0.31</v>
      </c>
      <c r="R20" s="97">
        <v>7.2999999999999996E-4</v>
      </c>
      <c r="T20" s="98">
        <v>190</v>
      </c>
      <c r="U20" s="98">
        <v>170</v>
      </c>
      <c r="V20" s="98" t="s">
        <v>250</v>
      </c>
      <c r="W20" s="98" t="s">
        <v>250</v>
      </c>
      <c r="X20" s="98">
        <v>0.45</v>
      </c>
      <c r="Y20" s="98">
        <v>0.3</v>
      </c>
      <c r="Z20" s="98">
        <v>1.81</v>
      </c>
      <c r="AA20" s="98">
        <v>0.61</v>
      </c>
      <c r="AB20" s="98">
        <v>1.21</v>
      </c>
      <c r="AC20" s="98">
        <v>0.46</v>
      </c>
      <c r="AD20" s="98">
        <v>2410</v>
      </c>
      <c r="AE20" s="98">
        <v>260</v>
      </c>
      <c r="AF20" s="95">
        <v>2.9000000000000001E-2</v>
      </c>
      <c r="AG20" s="97">
        <v>0.02</v>
      </c>
      <c r="AH20" s="96">
        <v>14.8</v>
      </c>
      <c r="AI20" s="96">
        <v>1.7</v>
      </c>
      <c r="AJ20" s="95">
        <v>0.41699999999999998</v>
      </c>
      <c r="AK20" s="95">
        <v>9.7000000000000003E-2</v>
      </c>
      <c r="AL20" s="96">
        <v>6.8</v>
      </c>
      <c r="AM20" s="96">
        <v>1.4</v>
      </c>
      <c r="AN20" s="96">
        <v>10.5</v>
      </c>
      <c r="AO20" s="96">
        <v>1.8</v>
      </c>
      <c r="AP20" s="96">
        <v>1.55</v>
      </c>
      <c r="AQ20" s="96">
        <v>0.35</v>
      </c>
      <c r="AR20" s="96">
        <v>61.7</v>
      </c>
      <c r="AS20" s="93">
        <v>9</v>
      </c>
      <c r="AT20" s="96">
        <v>18</v>
      </c>
      <c r="AU20" s="96">
        <v>1.9</v>
      </c>
      <c r="AV20" s="99">
        <v>215</v>
      </c>
      <c r="AW20" s="98">
        <v>18</v>
      </c>
      <c r="AX20" s="98">
        <v>74.400000000000006</v>
      </c>
      <c r="AY20" s="98">
        <v>7.2</v>
      </c>
      <c r="AZ20" s="98">
        <v>368</v>
      </c>
      <c r="BA20" s="98">
        <v>35</v>
      </c>
      <c r="BB20" s="98">
        <v>69.3</v>
      </c>
      <c r="BC20" s="98">
        <v>7</v>
      </c>
      <c r="BD20" s="98">
        <v>596</v>
      </c>
      <c r="BE20" s="98">
        <v>63</v>
      </c>
      <c r="BF20" s="98">
        <v>104.3</v>
      </c>
      <c r="BG20" s="98">
        <v>9.5</v>
      </c>
      <c r="BI20" s="93">
        <v>12.1</v>
      </c>
      <c r="BJ20" s="98">
        <v>3.1</v>
      </c>
      <c r="BK20" s="98">
        <v>559000</v>
      </c>
      <c r="BL20" s="98">
        <v>75000</v>
      </c>
      <c r="BM20" s="98">
        <v>8900</v>
      </c>
      <c r="BN20" s="98">
        <v>1100</v>
      </c>
      <c r="BO20" s="99">
        <v>185</v>
      </c>
      <c r="BP20" s="98">
        <v>17</v>
      </c>
      <c r="BQ20" s="99">
        <v>174</v>
      </c>
      <c r="BR20" s="98">
        <v>16</v>
      </c>
      <c r="BT20" s="95">
        <f t="shared" si="0"/>
        <v>0.29194630872483224</v>
      </c>
      <c r="BU20" s="96">
        <f t="shared" si="1"/>
        <v>2.1764705882352944</v>
      </c>
      <c r="BV20" s="96">
        <f t="shared" si="2"/>
        <v>62.80898876404494</v>
      </c>
      <c r="BW20" s="96">
        <f t="shared" si="3"/>
        <v>1.0632183908045978</v>
      </c>
      <c r="BX20" s="99">
        <f t="shared" si="26"/>
        <v>32.997363611520633</v>
      </c>
      <c r="BY20" s="96">
        <f t="shared" si="4"/>
        <v>2.1764705882352944</v>
      </c>
      <c r="BZ20" s="97">
        <f t="shared" si="5"/>
        <v>9.0309982914327572E-4</v>
      </c>
      <c r="CA20" s="95">
        <f t="shared" si="6"/>
        <v>0.18617360209110626</v>
      </c>
      <c r="CB20" s="99">
        <f t="shared" si="20"/>
        <v>284.75754555290763</v>
      </c>
      <c r="CC20" s="99">
        <f t="shared" si="20"/>
        <v>26.18460188992254</v>
      </c>
      <c r="CD20" s="100">
        <f t="shared" si="21"/>
        <v>792.74072354661337</v>
      </c>
      <c r="CE20" s="100">
        <f t="shared" si="22"/>
        <v>836.11627957199687</v>
      </c>
      <c r="CF20" s="100">
        <f t="shared" si="23"/>
        <v>31.231172418923119</v>
      </c>
      <c r="CG20" s="96">
        <f t="shared" si="24"/>
        <v>-0.10749067497325093</v>
      </c>
      <c r="CH20" s="96">
        <f t="shared" si="25"/>
        <v>0.3504832617278254</v>
      </c>
      <c r="CJ20" s="95">
        <f t="shared" si="27"/>
        <v>0.12236286919831225</v>
      </c>
      <c r="CK20" s="93">
        <f t="shared" si="7"/>
        <v>24.183006535947715</v>
      </c>
      <c r="CL20" s="93">
        <f t="shared" si="8"/>
        <v>4.3894736842105262</v>
      </c>
      <c r="CM20" s="93">
        <f t="shared" si="9"/>
        <v>14.561027837259099</v>
      </c>
      <c r="CN20" s="93">
        <f t="shared" si="10"/>
        <v>68.627450980392155</v>
      </c>
      <c r="CO20" s="93">
        <f t="shared" si="11"/>
        <v>26.72413793103448</v>
      </c>
      <c r="CP20" s="93">
        <f t="shared" si="12"/>
        <v>300.24330900243314</v>
      </c>
      <c r="CQ20" s="93">
        <f t="shared" si="13"/>
        <v>481.28342245989302</v>
      </c>
      <c r="CR20" s="93">
        <f t="shared" si="14"/>
        <v>846.45669291338584</v>
      </c>
      <c r="CS20" s="93">
        <f t="shared" si="15"/>
        <v>1314.4876325088342</v>
      </c>
      <c r="CT20" s="93">
        <f t="shared" si="16"/>
        <v>2223.5649546827794</v>
      </c>
      <c r="CU20" s="93">
        <f t="shared" si="17"/>
        <v>2717.6470588235293</v>
      </c>
      <c r="CV20" s="93">
        <f t="shared" si="18"/>
        <v>3505.8823529411761</v>
      </c>
      <c r="CW20" s="93">
        <f t="shared" si="19"/>
        <v>4106.2992125984256</v>
      </c>
    </row>
    <row r="21" spans="1:101" s="98" customFormat="1">
      <c r="A21" s="3" t="s">
        <v>261</v>
      </c>
      <c r="B21" s="92" t="s">
        <v>244</v>
      </c>
      <c r="C21" s="3"/>
      <c r="D21" s="93">
        <v>11.037000000000001</v>
      </c>
      <c r="E21" s="94">
        <v>0.18965000000000001</v>
      </c>
      <c r="F21" s="94">
        <v>8.8000000000000003E-4</v>
      </c>
      <c r="G21" s="95">
        <v>13.991</v>
      </c>
      <c r="H21" s="96">
        <v>0.41</v>
      </c>
      <c r="I21" s="97">
        <v>0.53739999999999999</v>
      </c>
      <c r="J21" s="95">
        <v>1.4999999999999999E-2</v>
      </c>
      <c r="K21" s="96">
        <v>0.64075000000000004</v>
      </c>
      <c r="M21" s="99">
        <v>2772.4</v>
      </c>
      <c r="N21" s="98">
        <v>61</v>
      </c>
      <c r="O21" s="99">
        <v>2739.4</v>
      </c>
      <c r="P21" s="98">
        <v>3.1</v>
      </c>
      <c r="Q21" s="93">
        <v>-1.21</v>
      </c>
      <c r="R21" s="97">
        <v>4.8000000000000001E-5</v>
      </c>
      <c r="T21" s="98">
        <v>420</v>
      </c>
      <c r="U21" s="98">
        <v>150</v>
      </c>
      <c r="V21" s="98" t="s">
        <v>250</v>
      </c>
      <c r="W21" s="98" t="s">
        <v>250</v>
      </c>
      <c r="X21" s="98">
        <v>0.28000000000000003</v>
      </c>
      <c r="Y21" s="98">
        <v>0.2</v>
      </c>
      <c r="Z21" s="98">
        <v>3.59</v>
      </c>
      <c r="AA21" s="98">
        <v>0.99</v>
      </c>
      <c r="AB21" s="98">
        <v>1.07</v>
      </c>
      <c r="AC21" s="98">
        <v>0.46</v>
      </c>
      <c r="AD21" s="98">
        <v>2310</v>
      </c>
      <c r="AE21" s="98">
        <v>360</v>
      </c>
      <c r="AF21" s="95">
        <v>3.2000000000000001E-2</v>
      </c>
      <c r="AG21" s="97">
        <v>2.5000000000000001E-2</v>
      </c>
      <c r="AH21" s="96">
        <v>22.3</v>
      </c>
      <c r="AI21" s="96">
        <v>2.8</v>
      </c>
      <c r="AJ21" s="95">
        <v>0.30199999999999999</v>
      </c>
      <c r="AK21" s="95">
        <v>8.6999999999999994E-2</v>
      </c>
      <c r="AL21" s="96">
        <v>5.5</v>
      </c>
      <c r="AM21" s="96">
        <v>1.3</v>
      </c>
      <c r="AN21" s="96">
        <v>7.2</v>
      </c>
      <c r="AO21" s="96">
        <v>2.1</v>
      </c>
      <c r="AP21" s="96">
        <v>0.74</v>
      </c>
      <c r="AQ21" s="96">
        <v>0.27</v>
      </c>
      <c r="AR21" s="96">
        <v>54.5</v>
      </c>
      <c r="AS21" s="93">
        <v>7.1</v>
      </c>
      <c r="AT21" s="96">
        <v>15.1</v>
      </c>
      <c r="AU21" s="96">
        <v>1.7</v>
      </c>
      <c r="AV21" s="99">
        <v>196</v>
      </c>
      <c r="AW21" s="98">
        <v>28</v>
      </c>
      <c r="AX21" s="98">
        <v>74</v>
      </c>
      <c r="AY21" s="98">
        <v>10</v>
      </c>
      <c r="AZ21" s="98">
        <v>377</v>
      </c>
      <c r="BA21" s="98">
        <v>46</v>
      </c>
      <c r="BB21" s="98">
        <v>71</v>
      </c>
      <c r="BC21" s="98">
        <v>10</v>
      </c>
      <c r="BD21" s="98">
        <v>647</v>
      </c>
      <c r="BE21" s="98">
        <v>89</v>
      </c>
      <c r="BF21" s="98">
        <v>121</v>
      </c>
      <c r="BG21" s="98">
        <v>19</v>
      </c>
      <c r="BI21" s="93">
        <v>14.2</v>
      </c>
      <c r="BJ21" s="98">
        <v>6</v>
      </c>
      <c r="BK21" s="98">
        <v>597000</v>
      </c>
      <c r="BL21" s="98">
        <v>91000</v>
      </c>
      <c r="BM21" s="98">
        <v>8200</v>
      </c>
      <c r="BN21" s="98">
        <v>1100</v>
      </c>
      <c r="BO21" s="99">
        <v>161</v>
      </c>
      <c r="BP21" s="98">
        <v>21</v>
      </c>
      <c r="BQ21" s="99">
        <v>191</v>
      </c>
      <c r="BR21" s="98">
        <v>24</v>
      </c>
      <c r="BT21" s="95">
        <f t="shared" si="0"/>
        <v>0.29520865533230295</v>
      </c>
      <c r="BU21" s="96">
        <f t="shared" si="1"/>
        <v>4.0545454545454547</v>
      </c>
      <c r="BV21" s="96">
        <f t="shared" si="2"/>
        <v>72.804878048780495</v>
      </c>
      <c r="BW21" s="96">
        <f t="shared" si="3"/>
        <v>0.84293193717277481</v>
      </c>
      <c r="BX21" s="99">
        <f t="shared" si="26"/>
        <v>55.617434998824038</v>
      </c>
      <c r="BY21" s="96">
        <f t="shared" si="4"/>
        <v>4.0545454545454547</v>
      </c>
      <c r="BZ21" s="97">
        <f t="shared" si="5"/>
        <v>1.7552144824872099E-3</v>
      </c>
      <c r="CA21" s="95">
        <f t="shared" si="6"/>
        <v>0.11420650870026615</v>
      </c>
      <c r="CB21" s="99">
        <f t="shared" si="20"/>
        <v>312.57868506095031</v>
      </c>
      <c r="CC21" s="99">
        <f t="shared" si="20"/>
        <v>39.276902834883813</v>
      </c>
      <c r="CD21" s="100">
        <f t="shared" si="21"/>
        <v>809.44942213577372</v>
      </c>
      <c r="CE21" s="100">
        <f t="shared" si="22"/>
        <v>854.22409307698911</v>
      </c>
      <c r="CF21" s="100">
        <f t="shared" si="23"/>
        <v>50.390694425171588</v>
      </c>
      <c r="CG21" s="96">
        <f t="shared" si="24"/>
        <v>0.38347723356472052</v>
      </c>
      <c r="CH21" s="96">
        <f t="shared" si="25"/>
        <v>0.53765959029764188</v>
      </c>
      <c r="CJ21" s="95">
        <f t="shared" si="27"/>
        <v>0.13502109704641352</v>
      </c>
      <c r="CK21" s="93">
        <f t="shared" si="7"/>
        <v>36.437908496732028</v>
      </c>
      <c r="CL21" s="93">
        <f t="shared" si="8"/>
        <v>3.1789473684210523</v>
      </c>
      <c r="CM21" s="93">
        <f t="shared" si="9"/>
        <v>11.777301927194861</v>
      </c>
      <c r="CN21" s="93">
        <f t="shared" si="10"/>
        <v>47.058823529411768</v>
      </c>
      <c r="CO21" s="93">
        <f t="shared" si="11"/>
        <v>12.758620689655171</v>
      </c>
      <c r="CP21" s="93">
        <f t="shared" si="12"/>
        <v>265.20681265206815</v>
      </c>
      <c r="CQ21" s="93">
        <f t="shared" si="13"/>
        <v>403.74331550802134</v>
      </c>
      <c r="CR21" s="93">
        <f t="shared" si="14"/>
        <v>771.65354330708658</v>
      </c>
      <c r="CS21" s="93">
        <f t="shared" si="15"/>
        <v>1307.4204946996467</v>
      </c>
      <c r="CT21" s="93">
        <f t="shared" si="16"/>
        <v>2277.9456193353471</v>
      </c>
      <c r="CU21" s="93">
        <f t="shared" si="17"/>
        <v>2784.3137254901962</v>
      </c>
      <c r="CV21" s="93">
        <f t="shared" si="18"/>
        <v>3805.8823529411761</v>
      </c>
      <c r="CW21" s="93">
        <f t="shared" si="19"/>
        <v>4763.7795275590552</v>
      </c>
    </row>
    <row r="22" spans="1:101" s="98" customFormat="1">
      <c r="A22" s="3" t="s">
        <v>262</v>
      </c>
      <c r="B22" s="92" t="s">
        <v>244</v>
      </c>
      <c r="C22" s="3"/>
      <c r="D22" s="93">
        <v>11.035</v>
      </c>
      <c r="E22" s="94">
        <v>0.189</v>
      </c>
      <c r="F22" s="94">
        <v>1.1000000000000001E-3</v>
      </c>
      <c r="G22" s="95">
        <v>13.840999999999999</v>
      </c>
      <c r="H22" s="96">
        <v>0.41</v>
      </c>
      <c r="I22" s="97">
        <v>0.53290000000000004</v>
      </c>
      <c r="J22" s="95">
        <v>1.4999999999999999E-2</v>
      </c>
      <c r="K22" s="96">
        <v>0.64632999999999996</v>
      </c>
      <c r="M22" s="99">
        <v>2754</v>
      </c>
      <c r="N22" s="98">
        <v>61</v>
      </c>
      <c r="O22" s="99">
        <v>2733.1</v>
      </c>
      <c r="P22" s="98">
        <v>4.9000000000000004</v>
      </c>
      <c r="Q22" s="93">
        <v>-0.76</v>
      </c>
      <c r="R22" s="97">
        <v>3.6999999999999999E-4</v>
      </c>
      <c r="T22" s="98">
        <v>660</v>
      </c>
      <c r="U22" s="98">
        <v>130</v>
      </c>
      <c r="V22" s="98" t="s">
        <v>250</v>
      </c>
      <c r="W22" s="98" t="s">
        <v>250</v>
      </c>
      <c r="X22" s="98" t="s">
        <v>250</v>
      </c>
      <c r="Y22" s="98" t="s">
        <v>250</v>
      </c>
      <c r="Z22" s="98">
        <v>1.37</v>
      </c>
      <c r="AA22" s="98">
        <v>0.6</v>
      </c>
      <c r="AB22" s="98">
        <v>0.41</v>
      </c>
      <c r="AC22" s="98">
        <v>0.24</v>
      </c>
      <c r="AD22" s="98">
        <v>1110</v>
      </c>
      <c r="AE22" s="98">
        <v>100</v>
      </c>
      <c r="AF22" s="95">
        <v>8.0000000000000002E-3</v>
      </c>
      <c r="AG22" s="97">
        <v>0.01</v>
      </c>
      <c r="AH22" s="96">
        <v>12.3</v>
      </c>
      <c r="AI22" s="96">
        <v>1.6</v>
      </c>
      <c r="AJ22" s="95">
        <v>8.2000000000000003E-2</v>
      </c>
      <c r="AK22" s="95">
        <v>3.5000000000000003E-2</v>
      </c>
      <c r="AL22" s="96">
        <v>0.79</v>
      </c>
      <c r="AM22" s="96">
        <v>0.46</v>
      </c>
      <c r="AN22" s="96">
        <v>3.6</v>
      </c>
      <c r="AO22" s="96">
        <v>1</v>
      </c>
      <c r="AP22" s="96">
        <v>0.31</v>
      </c>
      <c r="AQ22" s="96">
        <v>0.14000000000000001</v>
      </c>
      <c r="AR22" s="96">
        <v>19.600000000000001</v>
      </c>
      <c r="AS22" s="93">
        <v>4.4000000000000004</v>
      </c>
      <c r="AT22" s="96">
        <v>5.98</v>
      </c>
      <c r="AU22" s="96">
        <v>0.83</v>
      </c>
      <c r="AV22" s="99">
        <v>84</v>
      </c>
      <c r="AW22" s="98">
        <v>11</v>
      </c>
      <c r="AX22" s="98">
        <v>31.9</v>
      </c>
      <c r="AY22" s="98">
        <v>3</v>
      </c>
      <c r="AZ22" s="98">
        <v>171</v>
      </c>
      <c r="BA22" s="98">
        <v>16</v>
      </c>
      <c r="BB22" s="98">
        <v>35.1</v>
      </c>
      <c r="BC22" s="98">
        <v>3.3</v>
      </c>
      <c r="BD22" s="98">
        <v>318</v>
      </c>
      <c r="BE22" s="98">
        <v>32</v>
      </c>
      <c r="BF22" s="98">
        <v>59.6</v>
      </c>
      <c r="BG22" s="98">
        <v>5.5</v>
      </c>
      <c r="BI22" s="93">
        <v>11.2</v>
      </c>
      <c r="BJ22" s="98">
        <v>3.8</v>
      </c>
      <c r="BK22" s="98">
        <v>529000</v>
      </c>
      <c r="BL22" s="98">
        <v>47000</v>
      </c>
      <c r="BM22" s="98">
        <v>8540</v>
      </c>
      <c r="BN22" s="98">
        <v>860</v>
      </c>
      <c r="BO22" s="99">
        <v>50.7</v>
      </c>
      <c r="BP22" s="98">
        <v>3.6</v>
      </c>
      <c r="BQ22" s="99">
        <v>77.7</v>
      </c>
      <c r="BR22" s="98">
        <v>5.6</v>
      </c>
      <c r="BT22" s="95">
        <f t="shared" si="0"/>
        <v>0.24433962264150944</v>
      </c>
      <c r="BU22" s="96">
        <f t="shared" si="1"/>
        <v>15.569620253164556</v>
      </c>
      <c r="BV22" s="96">
        <f t="shared" si="2"/>
        <v>61.943793911007027</v>
      </c>
      <c r="BW22" s="96">
        <f t="shared" si="3"/>
        <v>0.65250965250965254</v>
      </c>
      <c r="BX22" s="99">
        <f t="shared" si="26"/>
        <v>117.74371795161881</v>
      </c>
      <c r="BY22" s="96">
        <f t="shared" si="4"/>
        <v>15.569620253164556</v>
      </c>
      <c r="BZ22" s="97">
        <f t="shared" si="5"/>
        <v>1.4026684912760861E-2</v>
      </c>
      <c r="CA22" s="95">
        <f t="shared" si="6"/>
        <v>0.1128251819907983</v>
      </c>
      <c r="CB22" s="99">
        <f t="shared" si="20"/>
        <v>127.15897292793633</v>
      </c>
      <c r="CC22" s="99">
        <f t="shared" si="20"/>
        <v>9.1646106614728886</v>
      </c>
      <c r="CD22" s="100">
        <f t="shared" si="21"/>
        <v>784.85437557913735</v>
      </c>
      <c r="CE22" s="100">
        <f t="shared" si="22"/>
        <v>827.57758555884823</v>
      </c>
      <c r="CF22" s="100">
        <f t="shared" si="23"/>
        <v>39.398424453168076</v>
      </c>
      <c r="CG22" s="96">
        <f t="shared" si="24"/>
        <v>0.3373591516143355</v>
      </c>
      <c r="CH22" s="96">
        <f t="shared" si="25"/>
        <v>0.43235156541642777</v>
      </c>
      <c r="CJ22" s="95">
        <f t="shared" si="27"/>
        <v>3.375527426160338E-2</v>
      </c>
      <c r="CK22" s="93">
        <f t="shared" si="7"/>
        <v>20.098039215686278</v>
      </c>
      <c r="CL22" s="93">
        <f t="shared" si="8"/>
        <v>0.86315789473684212</v>
      </c>
      <c r="CM22" s="93">
        <f t="shared" si="9"/>
        <v>1.6916488222698072</v>
      </c>
      <c r="CN22" s="93">
        <f t="shared" si="10"/>
        <v>23.529411764705884</v>
      </c>
      <c r="CO22" s="93">
        <f t="shared" si="11"/>
        <v>5.3448275862068959</v>
      </c>
      <c r="CP22" s="93">
        <f t="shared" si="12"/>
        <v>95.377128953771305</v>
      </c>
      <c r="CQ22" s="93">
        <f t="shared" si="13"/>
        <v>159.89304812834226</v>
      </c>
      <c r="CR22" s="93">
        <f t="shared" si="14"/>
        <v>330.70866141732284</v>
      </c>
      <c r="CS22" s="93">
        <f t="shared" si="15"/>
        <v>563.60424028268551</v>
      </c>
      <c r="CT22" s="93">
        <f t="shared" si="16"/>
        <v>1033.2326283987916</v>
      </c>
      <c r="CU22" s="93">
        <f t="shared" si="17"/>
        <v>1376.4705882352944</v>
      </c>
      <c r="CV22" s="93">
        <f t="shared" si="18"/>
        <v>1870.5882352941176</v>
      </c>
      <c r="CW22" s="93">
        <f t="shared" si="19"/>
        <v>2346.4566929133862</v>
      </c>
    </row>
    <row r="23" spans="1:101" s="98" customFormat="1">
      <c r="A23" s="3" t="s">
        <v>263</v>
      </c>
      <c r="B23" s="92" t="s">
        <v>244</v>
      </c>
      <c r="C23" s="3"/>
      <c r="D23" s="93">
        <v>11.013</v>
      </c>
      <c r="E23" s="94">
        <v>0.18925</v>
      </c>
      <c r="F23" s="94">
        <v>8.1999999999999998E-4</v>
      </c>
      <c r="G23" s="95">
        <v>13.832000000000001</v>
      </c>
      <c r="H23" s="96">
        <v>0.41</v>
      </c>
      <c r="I23" s="97">
        <v>0.53210000000000002</v>
      </c>
      <c r="J23" s="95">
        <v>1.4E-2</v>
      </c>
      <c r="K23" s="96">
        <v>0.74192999999999998</v>
      </c>
      <c r="M23" s="99">
        <v>2750.1</v>
      </c>
      <c r="N23" s="98">
        <v>61</v>
      </c>
      <c r="O23" s="99">
        <v>2735.5</v>
      </c>
      <c r="P23" s="98">
        <v>3.6</v>
      </c>
      <c r="Q23" s="93">
        <v>-0.53</v>
      </c>
      <c r="R23" s="97">
        <v>5.8E-4</v>
      </c>
      <c r="T23" s="98">
        <v>580</v>
      </c>
      <c r="U23" s="98">
        <v>130</v>
      </c>
      <c r="V23" s="98">
        <v>0.9</v>
      </c>
      <c r="W23" s="98">
        <v>1.6</v>
      </c>
      <c r="X23" s="98">
        <v>0.44</v>
      </c>
      <c r="Y23" s="98">
        <v>0.35</v>
      </c>
      <c r="Z23" s="98">
        <v>1.52</v>
      </c>
      <c r="AA23" s="98">
        <v>0.41</v>
      </c>
      <c r="AB23" s="98">
        <v>1.17</v>
      </c>
      <c r="AC23" s="98">
        <v>0.45</v>
      </c>
      <c r="AD23" s="98">
        <v>3760</v>
      </c>
      <c r="AE23" s="98">
        <v>560</v>
      </c>
      <c r="AF23" s="95">
        <v>6.9000000000000006E-2</v>
      </c>
      <c r="AG23" s="97">
        <v>3.1E-2</v>
      </c>
      <c r="AH23" s="96">
        <v>28.6</v>
      </c>
      <c r="AI23" s="96">
        <v>3.7</v>
      </c>
      <c r="AJ23" s="95">
        <v>0.65</v>
      </c>
      <c r="AK23" s="95">
        <v>0.11</v>
      </c>
      <c r="AL23" s="96">
        <v>12.1</v>
      </c>
      <c r="AM23" s="96">
        <v>2.1</v>
      </c>
      <c r="AN23" s="96">
        <v>23.7</v>
      </c>
      <c r="AO23" s="96">
        <v>5.4</v>
      </c>
      <c r="AP23" s="96">
        <v>2.1800000000000002</v>
      </c>
      <c r="AQ23" s="96">
        <v>0.34</v>
      </c>
      <c r="AR23" s="96">
        <v>98</v>
      </c>
      <c r="AS23" s="93">
        <v>11</v>
      </c>
      <c r="AT23" s="96">
        <v>29.9</v>
      </c>
      <c r="AU23" s="96">
        <v>4.2</v>
      </c>
      <c r="AV23" s="99">
        <v>343</v>
      </c>
      <c r="AW23" s="98">
        <v>38</v>
      </c>
      <c r="AX23" s="98">
        <v>114</v>
      </c>
      <c r="AY23" s="98">
        <v>10</v>
      </c>
      <c r="AZ23" s="98">
        <v>541</v>
      </c>
      <c r="BA23" s="98">
        <v>54</v>
      </c>
      <c r="BB23" s="98">
        <v>99</v>
      </c>
      <c r="BC23" s="98">
        <v>12</v>
      </c>
      <c r="BD23" s="98">
        <v>800</v>
      </c>
      <c r="BE23" s="98">
        <v>100</v>
      </c>
      <c r="BF23" s="98">
        <v>141</v>
      </c>
      <c r="BG23" s="98">
        <v>16</v>
      </c>
      <c r="BI23" s="93">
        <v>13.6</v>
      </c>
      <c r="BJ23" s="98">
        <v>5</v>
      </c>
      <c r="BK23" s="98">
        <v>577000</v>
      </c>
      <c r="BL23" s="98">
        <v>91000</v>
      </c>
      <c r="BM23" s="98">
        <v>8500</v>
      </c>
      <c r="BN23" s="98">
        <v>1100</v>
      </c>
      <c r="BO23" s="99">
        <v>201</v>
      </c>
      <c r="BP23" s="98">
        <v>21</v>
      </c>
      <c r="BQ23" s="99">
        <v>171</v>
      </c>
      <c r="BR23" s="98">
        <v>18</v>
      </c>
      <c r="BT23" s="95">
        <f t="shared" si="0"/>
        <v>0.21375</v>
      </c>
      <c r="BU23" s="96">
        <f t="shared" si="1"/>
        <v>2.3636363636363638</v>
      </c>
      <c r="BV23" s="96">
        <f t="shared" si="2"/>
        <v>67.882352941176464</v>
      </c>
      <c r="BW23" s="96">
        <f t="shared" si="3"/>
        <v>1.1754385964912282</v>
      </c>
      <c r="BX23" s="99">
        <f t="shared" si="26"/>
        <v>33.110776284997115</v>
      </c>
      <c r="BY23" s="96">
        <f t="shared" si="4"/>
        <v>2.3636363636363638</v>
      </c>
      <c r="BZ23" s="97">
        <f t="shared" si="5"/>
        <v>6.2862669245647971E-4</v>
      </c>
      <c r="CA23" s="95">
        <f t="shared" si="6"/>
        <v>0.13829068177396409</v>
      </c>
      <c r="CB23" s="99">
        <f t="shared" si="20"/>
        <v>279.84793269854714</v>
      </c>
      <c r="CC23" s="99">
        <f t="shared" si="20"/>
        <v>29.457677126162856</v>
      </c>
      <c r="CD23" s="100">
        <f t="shared" si="21"/>
        <v>804.8906289452176</v>
      </c>
      <c r="CE23" s="100">
        <f t="shared" si="22"/>
        <v>849.28127324747754</v>
      </c>
      <c r="CF23" s="100">
        <f t="shared" si="23"/>
        <v>43.926900426920739</v>
      </c>
      <c r="CG23" s="96">
        <f t="shared" si="24"/>
        <v>0.94788075445992481</v>
      </c>
      <c r="CH23" s="96">
        <f t="shared" si="25"/>
        <v>0.49723730059183807</v>
      </c>
      <c r="CJ23" s="95">
        <f t="shared" si="27"/>
        <v>0.29113924050632917</v>
      </c>
      <c r="CK23" s="93">
        <f t="shared" si="7"/>
        <v>46.732026143790854</v>
      </c>
      <c r="CL23" s="93">
        <f t="shared" si="8"/>
        <v>6.8421052631578947</v>
      </c>
      <c r="CM23" s="93">
        <f t="shared" si="9"/>
        <v>25.910064239828692</v>
      </c>
      <c r="CN23" s="93">
        <f t="shared" si="10"/>
        <v>154.90196078431373</v>
      </c>
      <c r="CO23" s="93">
        <f t="shared" si="11"/>
        <v>37.586206896551722</v>
      </c>
      <c r="CP23" s="93">
        <f t="shared" si="12"/>
        <v>476.88564476885648</v>
      </c>
      <c r="CQ23" s="93">
        <f t="shared" si="13"/>
        <v>799.46524064171115</v>
      </c>
      <c r="CR23" s="93">
        <f t="shared" si="14"/>
        <v>1350.3937007874015</v>
      </c>
      <c r="CS23" s="93">
        <f t="shared" si="15"/>
        <v>2014.1342756183747</v>
      </c>
      <c r="CT23" s="93">
        <f t="shared" si="16"/>
        <v>3268.8821752265858</v>
      </c>
      <c r="CU23" s="93">
        <f t="shared" si="17"/>
        <v>3882.3529411764707</v>
      </c>
      <c r="CV23" s="93">
        <f t="shared" si="18"/>
        <v>4705.8823529411766</v>
      </c>
      <c r="CW23" s="93">
        <f t="shared" si="19"/>
        <v>5551.1811023622049</v>
      </c>
    </row>
    <row r="24" spans="1:101" s="98" customFormat="1">
      <c r="A24" s="3" t="s">
        <v>264</v>
      </c>
      <c r="B24" s="92" t="s">
        <v>244</v>
      </c>
      <c r="C24" s="3"/>
      <c r="D24" s="93">
        <v>11.021000000000001</v>
      </c>
      <c r="E24" s="94">
        <v>0.18923999999999999</v>
      </c>
      <c r="F24" s="94">
        <v>7.9000000000000001E-4</v>
      </c>
      <c r="G24" s="95">
        <v>14.05</v>
      </c>
      <c r="H24" s="96">
        <v>0.42</v>
      </c>
      <c r="I24" s="97">
        <v>0.54039999999999999</v>
      </c>
      <c r="J24" s="95">
        <v>1.4999999999999999E-2</v>
      </c>
      <c r="K24" s="96">
        <v>0.89975000000000005</v>
      </c>
      <c r="M24" s="99">
        <v>2785</v>
      </c>
      <c r="N24" s="98">
        <v>63</v>
      </c>
      <c r="O24" s="99">
        <v>2735.6</v>
      </c>
      <c r="P24" s="98">
        <v>3.6</v>
      </c>
      <c r="Q24" s="93">
        <v>-1.81</v>
      </c>
      <c r="R24" s="97">
        <v>4.2999999999999999E-4</v>
      </c>
      <c r="T24" s="98">
        <v>160</v>
      </c>
      <c r="U24" s="98">
        <v>230</v>
      </c>
      <c r="V24" s="98">
        <v>0.4</v>
      </c>
      <c r="W24" s="98">
        <v>1.6</v>
      </c>
      <c r="X24" s="98">
        <v>0.16</v>
      </c>
      <c r="Y24" s="98">
        <v>0.19</v>
      </c>
      <c r="Z24" s="98">
        <v>1.56</v>
      </c>
      <c r="AA24" s="98">
        <v>0.6</v>
      </c>
      <c r="AB24" s="98">
        <v>1.05</v>
      </c>
      <c r="AC24" s="98">
        <v>0.4</v>
      </c>
      <c r="AD24" s="98">
        <v>2430</v>
      </c>
      <c r="AE24" s="98">
        <v>320</v>
      </c>
      <c r="AF24" s="95">
        <v>1.2999999999999999E-2</v>
      </c>
      <c r="AG24" s="97">
        <v>1.4E-2</v>
      </c>
      <c r="AH24" s="96">
        <v>18.100000000000001</v>
      </c>
      <c r="AI24" s="96">
        <v>2.6</v>
      </c>
      <c r="AJ24" s="95">
        <v>0.42</v>
      </c>
      <c r="AK24" s="95">
        <v>0.11</v>
      </c>
      <c r="AL24" s="96">
        <v>7.2</v>
      </c>
      <c r="AM24" s="96">
        <v>2.2999999999999998</v>
      </c>
      <c r="AN24" s="96">
        <v>9.6</v>
      </c>
      <c r="AO24" s="96">
        <v>2</v>
      </c>
      <c r="AP24" s="96">
        <v>1.31</v>
      </c>
      <c r="AQ24" s="96">
        <v>0.42</v>
      </c>
      <c r="AR24" s="96">
        <v>52.9</v>
      </c>
      <c r="AS24" s="93">
        <v>6.7</v>
      </c>
      <c r="AT24" s="96">
        <v>16.8</v>
      </c>
      <c r="AU24" s="96">
        <v>2.1</v>
      </c>
      <c r="AV24" s="99">
        <v>214</v>
      </c>
      <c r="AW24" s="98">
        <v>29</v>
      </c>
      <c r="AX24" s="98">
        <v>73</v>
      </c>
      <c r="AY24" s="98">
        <v>10</v>
      </c>
      <c r="AZ24" s="98">
        <v>377</v>
      </c>
      <c r="BA24" s="98">
        <v>56</v>
      </c>
      <c r="BB24" s="98">
        <v>70</v>
      </c>
      <c r="BC24" s="98">
        <v>12</v>
      </c>
      <c r="BD24" s="98">
        <v>604</v>
      </c>
      <c r="BE24" s="98">
        <v>82</v>
      </c>
      <c r="BF24" s="98">
        <v>109</v>
      </c>
      <c r="BG24" s="98">
        <v>14</v>
      </c>
      <c r="BI24" s="93">
        <v>9.1</v>
      </c>
      <c r="BJ24" s="98">
        <v>2.8</v>
      </c>
      <c r="BK24" s="98">
        <v>560000</v>
      </c>
      <c r="BL24" s="98">
        <v>91000</v>
      </c>
      <c r="BM24" s="98">
        <v>9500</v>
      </c>
      <c r="BN24" s="98">
        <v>1300</v>
      </c>
      <c r="BO24" s="99">
        <v>179</v>
      </c>
      <c r="BP24" s="98">
        <v>24</v>
      </c>
      <c r="BQ24" s="99">
        <v>181</v>
      </c>
      <c r="BR24" s="98">
        <v>23</v>
      </c>
      <c r="BT24" s="95">
        <f t="shared" si="0"/>
        <v>0.29966887417218541</v>
      </c>
      <c r="BU24" s="96">
        <f t="shared" si="1"/>
        <v>2.5138888888888888</v>
      </c>
      <c r="BV24" s="96">
        <f t="shared" si="2"/>
        <v>58.94736842105263</v>
      </c>
      <c r="BW24" s="96">
        <f t="shared" si="3"/>
        <v>0.98895027624309395</v>
      </c>
      <c r="BX24" s="99">
        <f t="shared" si="26"/>
        <v>60.057438746950893</v>
      </c>
      <c r="BY24" s="96">
        <f t="shared" si="4"/>
        <v>2.5138888888888888</v>
      </c>
      <c r="BZ24" s="97">
        <f t="shared" si="5"/>
        <v>1.0345221764974852E-3</v>
      </c>
      <c r="CA24" s="95">
        <f t="shared" si="6"/>
        <v>0.17771802493333452</v>
      </c>
      <c r="CB24" s="99">
        <f t="shared" si="20"/>
        <v>296.21330887974875</v>
      </c>
      <c r="CC24" s="99">
        <f t="shared" si="20"/>
        <v>37.640365216763648</v>
      </c>
      <c r="CD24" s="100">
        <f t="shared" si="21"/>
        <v>764.23478194375446</v>
      </c>
      <c r="CE24" s="100">
        <f t="shared" si="22"/>
        <v>805.27664271064339</v>
      </c>
      <c r="CF24" s="100">
        <f t="shared" si="23"/>
        <v>34.783667993162219</v>
      </c>
      <c r="CG24" s="96">
        <f t="shared" si="24"/>
        <v>0.45399882388941504</v>
      </c>
      <c r="CH24" s="96">
        <f t="shared" si="25"/>
        <v>0.47782267241155552</v>
      </c>
      <c r="CJ24" s="95">
        <f t="shared" si="27"/>
        <v>5.4852320675105488E-2</v>
      </c>
      <c r="CK24" s="93">
        <f t="shared" si="7"/>
        <v>29.575163398692812</v>
      </c>
      <c r="CL24" s="93">
        <f t="shared" si="8"/>
        <v>4.4210526315789469</v>
      </c>
      <c r="CM24" s="93">
        <f t="shared" si="9"/>
        <v>15.417558886509635</v>
      </c>
      <c r="CN24" s="93">
        <f t="shared" si="10"/>
        <v>62.745098039215684</v>
      </c>
      <c r="CO24" s="93">
        <f t="shared" si="11"/>
        <v>22.586206896551722</v>
      </c>
      <c r="CP24" s="93">
        <f t="shared" si="12"/>
        <v>257.42092457420927</v>
      </c>
      <c r="CQ24" s="93">
        <f t="shared" si="13"/>
        <v>449.19786096256684</v>
      </c>
      <c r="CR24" s="93">
        <f t="shared" si="14"/>
        <v>842.51968503937007</v>
      </c>
      <c r="CS24" s="93">
        <f t="shared" si="15"/>
        <v>1289.7526501766786</v>
      </c>
      <c r="CT24" s="93">
        <f t="shared" si="16"/>
        <v>2277.9456193353471</v>
      </c>
      <c r="CU24" s="93">
        <f t="shared" si="17"/>
        <v>2745.0980392156866</v>
      </c>
      <c r="CV24" s="93">
        <f t="shared" si="18"/>
        <v>3552.9411764705878</v>
      </c>
      <c r="CW24" s="93">
        <f t="shared" si="19"/>
        <v>4291.3385826771655</v>
      </c>
    </row>
    <row r="25" spans="1:101" s="98" customFormat="1">
      <c r="A25" s="3" t="s">
        <v>265</v>
      </c>
      <c r="B25" s="92" t="s">
        <v>244</v>
      </c>
      <c r="C25" s="3"/>
      <c r="D25" s="93">
        <v>11.007999999999999</v>
      </c>
      <c r="E25" s="94">
        <v>0.18901000000000001</v>
      </c>
      <c r="F25" s="94">
        <v>8.0999999999999996E-4</v>
      </c>
      <c r="G25" s="95">
        <v>14.07</v>
      </c>
      <c r="H25" s="96">
        <v>0.42</v>
      </c>
      <c r="I25" s="97">
        <v>0.54210000000000003</v>
      </c>
      <c r="J25" s="95">
        <v>1.4999999999999999E-2</v>
      </c>
      <c r="K25" s="96">
        <v>0.86777000000000004</v>
      </c>
      <c r="M25" s="99">
        <v>2792</v>
      </c>
      <c r="N25" s="98">
        <v>63</v>
      </c>
      <c r="O25" s="99">
        <v>2733.6</v>
      </c>
      <c r="P25" s="98">
        <v>2.7</v>
      </c>
      <c r="Q25" s="93">
        <v>-2.14</v>
      </c>
      <c r="R25" s="97">
        <v>4.2000000000000002E-4</v>
      </c>
      <c r="T25" s="98">
        <v>390</v>
      </c>
      <c r="U25" s="98">
        <v>160</v>
      </c>
      <c r="V25" s="98">
        <v>0.7</v>
      </c>
      <c r="W25" s="98">
        <v>1.8</v>
      </c>
      <c r="X25" s="98">
        <v>0.52</v>
      </c>
      <c r="Y25" s="98">
        <v>0.36</v>
      </c>
      <c r="Z25" s="98">
        <v>2.17</v>
      </c>
      <c r="AA25" s="98">
        <v>0.87</v>
      </c>
      <c r="AB25" s="98">
        <v>1.1399999999999999</v>
      </c>
      <c r="AC25" s="98">
        <v>0.39</v>
      </c>
      <c r="AD25" s="98">
        <v>1390</v>
      </c>
      <c r="AE25" s="98">
        <v>130</v>
      </c>
      <c r="AF25" s="95">
        <v>1.2999999999999999E-2</v>
      </c>
      <c r="AG25" s="97">
        <v>1.4E-2</v>
      </c>
      <c r="AH25" s="96">
        <v>22</v>
      </c>
      <c r="AI25" s="96">
        <v>2.2999999999999998</v>
      </c>
      <c r="AJ25" s="95">
        <v>0.122</v>
      </c>
      <c r="AK25" s="95">
        <v>6.6000000000000003E-2</v>
      </c>
      <c r="AL25" s="96">
        <v>2.72</v>
      </c>
      <c r="AM25" s="96">
        <v>0.81</v>
      </c>
      <c r="AN25" s="96">
        <v>4.5</v>
      </c>
      <c r="AO25" s="96">
        <v>1.2</v>
      </c>
      <c r="AP25" s="96">
        <v>0.45</v>
      </c>
      <c r="AQ25" s="96">
        <v>0.21</v>
      </c>
      <c r="AR25" s="96">
        <v>23.1</v>
      </c>
      <c r="AS25" s="93">
        <v>5.2</v>
      </c>
      <c r="AT25" s="96">
        <v>8.3000000000000007</v>
      </c>
      <c r="AU25" s="96">
        <v>1.2</v>
      </c>
      <c r="AV25" s="99">
        <v>112</v>
      </c>
      <c r="AW25" s="98">
        <v>13</v>
      </c>
      <c r="AX25" s="98">
        <v>42.8</v>
      </c>
      <c r="AY25" s="98">
        <v>4.8</v>
      </c>
      <c r="AZ25" s="98">
        <v>215</v>
      </c>
      <c r="BA25" s="98">
        <v>18</v>
      </c>
      <c r="BB25" s="98">
        <v>47.1</v>
      </c>
      <c r="BC25" s="98">
        <v>5.3</v>
      </c>
      <c r="BD25" s="98">
        <v>407</v>
      </c>
      <c r="BE25" s="98">
        <v>56</v>
      </c>
      <c r="BF25" s="98">
        <v>76.599999999999994</v>
      </c>
      <c r="BG25" s="98">
        <v>9.6999999999999993</v>
      </c>
      <c r="BI25" s="93">
        <v>12.4</v>
      </c>
      <c r="BJ25" s="98">
        <v>2.6</v>
      </c>
      <c r="BK25" s="98">
        <v>536000</v>
      </c>
      <c r="BL25" s="98">
        <v>61000</v>
      </c>
      <c r="BM25" s="98">
        <v>8220</v>
      </c>
      <c r="BN25" s="98">
        <v>950</v>
      </c>
      <c r="BO25" s="99">
        <v>108</v>
      </c>
      <c r="BP25" s="98">
        <v>10</v>
      </c>
      <c r="BQ25" s="99">
        <v>148</v>
      </c>
      <c r="BR25" s="98">
        <v>14</v>
      </c>
      <c r="BT25" s="95">
        <f t="shared" si="0"/>
        <v>0.36363636363636365</v>
      </c>
      <c r="BU25" s="96">
        <f t="shared" si="1"/>
        <v>8.0882352941176467</v>
      </c>
      <c r="BV25" s="96">
        <f t="shared" si="2"/>
        <v>65.206812652068123</v>
      </c>
      <c r="BW25" s="96">
        <f t="shared" si="3"/>
        <v>0.72972972972972971</v>
      </c>
      <c r="BX25" s="99">
        <f t="shared" si="26"/>
        <v>135.44271252111017</v>
      </c>
      <c r="BY25" s="96">
        <f t="shared" si="4"/>
        <v>8.0882352941176467</v>
      </c>
      <c r="BZ25" s="97">
        <f t="shared" si="5"/>
        <v>5.8188743123148536E-3</v>
      </c>
      <c r="CA25" s="95">
        <f t="shared" si="6"/>
        <v>0.1349347789392441</v>
      </c>
      <c r="CB25" s="99">
        <f t="shared" si="20"/>
        <v>242.20756748178349</v>
      </c>
      <c r="CC25" s="99">
        <f t="shared" si="20"/>
        <v>22.911526653682223</v>
      </c>
      <c r="CD25" s="100">
        <f t="shared" si="21"/>
        <v>795.26421761495169</v>
      </c>
      <c r="CE25" s="100">
        <f t="shared" si="22"/>
        <v>838.84959900338902</v>
      </c>
      <c r="CF25" s="100">
        <f t="shared" si="23"/>
        <v>26.634841225332917</v>
      </c>
      <c r="CG25" s="96">
        <f t="shared" si="24"/>
        <v>0.69843575707497774</v>
      </c>
      <c r="CH25" s="96">
        <f t="shared" si="25"/>
        <v>0.34265875361184245</v>
      </c>
      <c r="CJ25" s="95">
        <f t="shared" si="27"/>
        <v>5.4852320675105488E-2</v>
      </c>
      <c r="CK25" s="93">
        <f t="shared" si="7"/>
        <v>35.947712418300654</v>
      </c>
      <c r="CL25" s="93">
        <f t="shared" si="8"/>
        <v>1.2842105263157895</v>
      </c>
      <c r="CM25" s="93">
        <f t="shared" si="9"/>
        <v>5.8244111349036407</v>
      </c>
      <c r="CN25" s="93">
        <f t="shared" si="10"/>
        <v>29.411764705882355</v>
      </c>
      <c r="CO25" s="93">
        <f t="shared" si="11"/>
        <v>7.7586206896551726</v>
      </c>
      <c r="CP25" s="93">
        <f t="shared" si="12"/>
        <v>112.40875912408761</v>
      </c>
      <c r="CQ25" s="93">
        <f t="shared" si="13"/>
        <v>221.92513368983958</v>
      </c>
      <c r="CR25" s="93">
        <f t="shared" si="14"/>
        <v>440.94488188976379</v>
      </c>
      <c r="CS25" s="93">
        <f t="shared" si="15"/>
        <v>756.1837455830389</v>
      </c>
      <c r="CT25" s="93">
        <f t="shared" si="16"/>
        <v>1299.0936555891237</v>
      </c>
      <c r="CU25" s="93">
        <f t="shared" si="17"/>
        <v>1847.0588235294119</v>
      </c>
      <c r="CV25" s="93">
        <f t="shared" si="18"/>
        <v>2394.1176470588234</v>
      </c>
      <c r="CW25" s="93">
        <f t="shared" si="19"/>
        <v>3015.748031496063</v>
      </c>
    </row>
    <row r="26" spans="1:101" s="98" customFormat="1">
      <c r="A26" s="3" t="s">
        <v>266</v>
      </c>
      <c r="B26" s="92" t="s">
        <v>244</v>
      </c>
      <c r="C26" s="3"/>
      <c r="D26" s="93">
        <v>11.054</v>
      </c>
      <c r="E26" s="94">
        <v>0.18920000000000001</v>
      </c>
      <c r="F26" s="94">
        <v>1.1000000000000001E-3</v>
      </c>
      <c r="G26" s="95">
        <v>13.760999999999999</v>
      </c>
      <c r="H26" s="96">
        <v>0.41</v>
      </c>
      <c r="I26" s="97">
        <v>0.52969999999999995</v>
      </c>
      <c r="J26" s="95">
        <v>1.4E-2</v>
      </c>
      <c r="K26" s="96">
        <v>0.44106000000000001</v>
      </c>
      <c r="M26" s="99">
        <v>2740.1</v>
      </c>
      <c r="N26" s="98">
        <v>61</v>
      </c>
      <c r="O26" s="99">
        <v>2734.9</v>
      </c>
      <c r="P26" s="98">
        <v>6.2</v>
      </c>
      <c r="Q26" s="93">
        <v>-0.2</v>
      </c>
      <c r="R26" s="97">
        <v>1.17E-3</v>
      </c>
      <c r="T26" s="98">
        <v>440</v>
      </c>
      <c r="U26" s="98">
        <v>160</v>
      </c>
      <c r="V26" s="98" t="s">
        <v>250</v>
      </c>
      <c r="W26" s="98" t="s">
        <v>250</v>
      </c>
      <c r="X26" s="98">
        <v>0.15</v>
      </c>
      <c r="Y26" s="98">
        <v>0.17</v>
      </c>
      <c r="Z26" s="98">
        <v>1.74</v>
      </c>
      <c r="AA26" s="98">
        <v>0.7</v>
      </c>
      <c r="AB26" s="98">
        <v>0.55000000000000004</v>
      </c>
      <c r="AC26" s="98">
        <v>0.32</v>
      </c>
      <c r="AD26" s="98">
        <v>910</v>
      </c>
      <c r="AE26" s="98">
        <v>100</v>
      </c>
      <c r="AF26" s="95">
        <v>1.6999999999999999E-3</v>
      </c>
      <c r="AG26" s="97">
        <v>5.7999999999999996E-3</v>
      </c>
      <c r="AH26" s="96">
        <v>11.7</v>
      </c>
      <c r="AI26" s="96">
        <v>1.5</v>
      </c>
      <c r="AJ26" s="95">
        <v>3.6999999999999998E-2</v>
      </c>
      <c r="AK26" s="95">
        <v>2.8000000000000001E-2</v>
      </c>
      <c r="AL26" s="96">
        <v>0.86</v>
      </c>
      <c r="AM26" s="96">
        <v>0.51</v>
      </c>
      <c r="AN26" s="96">
        <v>1.67</v>
      </c>
      <c r="AO26" s="96">
        <v>0.67</v>
      </c>
      <c r="AP26" s="96">
        <v>0.28999999999999998</v>
      </c>
      <c r="AQ26" s="96">
        <v>0.18</v>
      </c>
      <c r="AR26" s="96">
        <v>15.2</v>
      </c>
      <c r="AS26" s="93">
        <v>3.2</v>
      </c>
      <c r="AT26" s="96">
        <v>4.7</v>
      </c>
      <c r="AU26" s="96">
        <v>0.9</v>
      </c>
      <c r="AV26" s="99">
        <v>71.5</v>
      </c>
      <c r="AW26" s="98">
        <v>7</v>
      </c>
      <c r="AX26" s="98">
        <v>28.8</v>
      </c>
      <c r="AY26" s="98">
        <v>2.8</v>
      </c>
      <c r="AZ26" s="98">
        <v>140</v>
      </c>
      <c r="BA26" s="98">
        <v>16</v>
      </c>
      <c r="BB26" s="98">
        <v>27.9</v>
      </c>
      <c r="BC26" s="98">
        <v>3</v>
      </c>
      <c r="BD26" s="98">
        <v>248</v>
      </c>
      <c r="BE26" s="98">
        <v>29</v>
      </c>
      <c r="BF26" s="98">
        <v>50.3</v>
      </c>
      <c r="BG26" s="98">
        <v>7.4</v>
      </c>
      <c r="BI26" s="93">
        <v>6</v>
      </c>
      <c r="BJ26" s="98">
        <v>3.5</v>
      </c>
      <c r="BK26" s="98">
        <v>567000</v>
      </c>
      <c r="BL26" s="98">
        <v>60000</v>
      </c>
      <c r="BM26" s="98">
        <v>9050</v>
      </c>
      <c r="BN26" s="98">
        <v>990</v>
      </c>
      <c r="BO26" s="99">
        <v>48.7</v>
      </c>
      <c r="BP26" s="98">
        <v>4.7</v>
      </c>
      <c r="BQ26" s="99">
        <v>76.5</v>
      </c>
      <c r="BR26" s="98">
        <v>7.1</v>
      </c>
      <c r="BT26" s="95">
        <f t="shared" si="0"/>
        <v>0.30846774193548387</v>
      </c>
      <c r="BU26" s="96">
        <f t="shared" si="1"/>
        <v>13.604651162790697</v>
      </c>
      <c r="BV26" s="96">
        <f t="shared" si="2"/>
        <v>62.651933701657455</v>
      </c>
      <c r="BW26" s="96">
        <f t="shared" si="3"/>
        <v>0.63660130718954255</v>
      </c>
      <c r="BX26" s="99">
        <f t="shared" si="26"/>
        <v>361.69715481754031</v>
      </c>
      <c r="BY26" s="96">
        <f t="shared" si="4"/>
        <v>13.604651162790697</v>
      </c>
      <c r="BZ26" s="97">
        <f t="shared" si="5"/>
        <v>1.495016611295681E-2</v>
      </c>
      <c r="CA26" s="95">
        <f t="shared" si="6"/>
        <v>0.17597120311000775</v>
      </c>
      <c r="CB26" s="99">
        <f t="shared" si="20"/>
        <v>125.19512778619215</v>
      </c>
      <c r="CC26" s="99">
        <f t="shared" si="20"/>
        <v>11.619417088653126</v>
      </c>
      <c r="CD26" s="100">
        <f t="shared" si="21"/>
        <v>725.20479179380322</v>
      </c>
      <c r="CE26" s="100">
        <f t="shared" si="22"/>
        <v>763.15997994127349</v>
      </c>
      <c r="CF26" s="100">
        <f t="shared" si="23"/>
        <v>58.623368177927141</v>
      </c>
      <c r="CG26" s="96">
        <f t="shared" si="24"/>
        <v>0.8049629254263222</v>
      </c>
      <c r="CH26" s="96">
        <f t="shared" si="25"/>
        <v>0.66083618591080351</v>
      </c>
      <c r="CJ26" s="95">
        <f t="shared" si="27"/>
        <v>7.1729957805907177E-3</v>
      </c>
      <c r="CK26" s="93">
        <f t="shared" si="7"/>
        <v>19.117647058823529</v>
      </c>
      <c r="CL26" s="93">
        <f t="shared" si="8"/>
        <v>0.38947368421052631</v>
      </c>
      <c r="CM26" s="93">
        <f t="shared" si="9"/>
        <v>1.8415417558886509</v>
      </c>
      <c r="CN26" s="93">
        <f t="shared" si="10"/>
        <v>10.915032679738562</v>
      </c>
      <c r="CO26" s="93">
        <f t="shared" si="11"/>
        <v>4.9999999999999991</v>
      </c>
      <c r="CP26" s="93">
        <f t="shared" si="12"/>
        <v>73.965936739659369</v>
      </c>
      <c r="CQ26" s="93">
        <f t="shared" si="13"/>
        <v>125.66844919786095</v>
      </c>
      <c r="CR26" s="93">
        <f t="shared" si="14"/>
        <v>281.49606299212599</v>
      </c>
      <c r="CS26" s="93">
        <f t="shared" si="15"/>
        <v>508.83392226148413</v>
      </c>
      <c r="CT26" s="93">
        <f t="shared" si="16"/>
        <v>845.92145015105734</v>
      </c>
      <c r="CU26" s="93">
        <f t="shared" si="17"/>
        <v>1094.1176470588236</v>
      </c>
      <c r="CV26" s="93">
        <f t="shared" si="18"/>
        <v>1458.8235294117646</v>
      </c>
      <c r="CW26" s="93">
        <f t="shared" si="19"/>
        <v>1980.3149606299212</v>
      </c>
    </row>
    <row r="27" spans="1:101" s="98" customFormat="1">
      <c r="A27" s="3" t="s">
        <v>267</v>
      </c>
      <c r="B27" s="3" t="s">
        <v>268</v>
      </c>
      <c r="C27" s="3"/>
      <c r="D27" s="93">
        <v>7.0540000000000003</v>
      </c>
      <c r="E27" s="94">
        <v>0.18989</v>
      </c>
      <c r="F27" s="94">
        <v>6.4000000000000005E-4</v>
      </c>
      <c r="G27" s="95">
        <v>13.81</v>
      </c>
      <c r="H27" s="96">
        <v>0.35</v>
      </c>
      <c r="I27" s="97">
        <v>0.52839999999999998</v>
      </c>
      <c r="J27" s="95">
        <v>1.2E-2</v>
      </c>
      <c r="K27" s="96">
        <v>0.94013999999999998</v>
      </c>
      <c r="M27" s="99">
        <v>2735</v>
      </c>
      <c r="N27" s="98">
        <v>49</v>
      </c>
      <c r="O27" s="99">
        <v>2741</v>
      </c>
      <c r="P27" s="98">
        <v>3</v>
      </c>
      <c r="Q27" s="93">
        <v>0.23</v>
      </c>
      <c r="R27" s="97">
        <v>1.2899999999999999E-3</v>
      </c>
      <c r="T27" s="98">
        <v>450</v>
      </c>
      <c r="U27" s="98">
        <v>100</v>
      </c>
      <c r="V27" s="98">
        <v>0.34</v>
      </c>
      <c r="W27" s="98">
        <v>0.91</v>
      </c>
      <c r="X27" s="98">
        <v>0.33</v>
      </c>
      <c r="Y27" s="98">
        <v>0.3</v>
      </c>
      <c r="Z27" s="98">
        <v>4.7699999999999996</v>
      </c>
      <c r="AA27" s="98">
        <v>0.82</v>
      </c>
      <c r="AB27" s="98">
        <v>1.41</v>
      </c>
      <c r="AC27" s="98">
        <v>0.27</v>
      </c>
      <c r="AD27" s="98">
        <v>2410</v>
      </c>
      <c r="AE27" s="98">
        <v>200</v>
      </c>
      <c r="AF27" s="95">
        <v>7.1999999999999998E-3</v>
      </c>
      <c r="AG27" s="97">
        <v>8.2000000000000007E-3</v>
      </c>
      <c r="AH27" s="96">
        <v>35.700000000000003</v>
      </c>
      <c r="AI27" s="96">
        <v>2.8</v>
      </c>
      <c r="AJ27" s="95">
        <v>0.17199999999999999</v>
      </c>
      <c r="AK27" s="95">
        <v>5.3999999999999999E-2</v>
      </c>
      <c r="AL27" s="96">
        <v>3.35</v>
      </c>
      <c r="AM27" s="96">
        <v>0.86</v>
      </c>
      <c r="AN27" s="96">
        <v>5.4</v>
      </c>
      <c r="AO27" s="96">
        <v>1.3</v>
      </c>
      <c r="AP27" s="96">
        <v>0.75</v>
      </c>
      <c r="AQ27" s="96">
        <v>0.22</v>
      </c>
      <c r="AR27" s="96">
        <v>37.9</v>
      </c>
      <c r="AS27" s="93">
        <v>6.3</v>
      </c>
      <c r="AT27" s="96">
        <v>13.65</v>
      </c>
      <c r="AU27" s="96">
        <v>0.89</v>
      </c>
      <c r="AV27" s="99">
        <v>181</v>
      </c>
      <c r="AW27" s="98">
        <v>12</v>
      </c>
      <c r="AX27" s="98">
        <v>78</v>
      </c>
      <c r="AY27" s="98">
        <v>4.7</v>
      </c>
      <c r="AZ27" s="98">
        <v>373</v>
      </c>
      <c r="BA27" s="98">
        <v>26</v>
      </c>
      <c r="BB27" s="98">
        <v>71.5</v>
      </c>
      <c r="BC27" s="98">
        <v>3.6</v>
      </c>
      <c r="BD27" s="98">
        <v>655</v>
      </c>
      <c r="BE27" s="98">
        <v>33</v>
      </c>
      <c r="BF27" s="98">
        <v>122.9</v>
      </c>
      <c r="BG27" s="98">
        <v>6.7</v>
      </c>
      <c r="BI27" s="93">
        <v>14.2</v>
      </c>
      <c r="BJ27" s="98">
        <v>4.3</v>
      </c>
      <c r="BK27" s="98">
        <v>561000</v>
      </c>
      <c r="BL27" s="98">
        <v>38000</v>
      </c>
      <c r="BM27" s="98">
        <v>7260</v>
      </c>
      <c r="BN27" s="98">
        <v>420</v>
      </c>
      <c r="BO27" s="99">
        <v>166.4</v>
      </c>
      <c r="BP27" s="98">
        <v>6.2</v>
      </c>
      <c r="BQ27" s="99">
        <v>225.7</v>
      </c>
      <c r="BR27" s="98">
        <v>7.5</v>
      </c>
      <c r="BT27" s="95">
        <f t="shared" si="0"/>
        <v>0.34458015267175574</v>
      </c>
      <c r="BU27" s="96">
        <f t="shared" si="1"/>
        <v>10.656716417910449</v>
      </c>
      <c r="BV27" s="96">
        <f t="shared" si="2"/>
        <v>77.272727272727266</v>
      </c>
      <c r="BW27" s="96">
        <f t="shared" si="3"/>
        <v>0.7372618520159504</v>
      </c>
      <c r="BX27" s="99">
        <f t="shared" si="26"/>
        <v>248.72663704620285</v>
      </c>
      <c r="BY27" s="96">
        <f t="shared" si="4"/>
        <v>10.656716417910449</v>
      </c>
      <c r="BZ27" s="97">
        <f t="shared" si="5"/>
        <v>4.4218740323279868E-3</v>
      </c>
      <c r="CA27" s="95">
        <f t="shared" si="6"/>
        <v>0.16027596981825196</v>
      </c>
      <c r="CB27" s="99">
        <f t="shared" si="20"/>
        <v>369.36654040971979</v>
      </c>
      <c r="CC27" s="99">
        <f t="shared" si="20"/>
        <v>12.274032135901191</v>
      </c>
      <c r="CD27" s="100">
        <f t="shared" si="21"/>
        <v>809.44942213577372</v>
      </c>
      <c r="CE27" s="100">
        <f t="shared" si="22"/>
        <v>854.22409307698911</v>
      </c>
      <c r="CF27" s="100">
        <f t="shared" si="23"/>
        <v>37.162827165152414</v>
      </c>
      <c r="CG27" s="96">
        <f t="shared" si="24"/>
        <v>1.0542531195892921</v>
      </c>
      <c r="CH27" s="96">
        <f t="shared" si="25"/>
        <v>0.35357900549163823</v>
      </c>
      <c r="CJ27" s="95">
        <f t="shared" si="27"/>
        <v>3.037974683544304E-2</v>
      </c>
      <c r="CK27" s="93">
        <f t="shared" si="7"/>
        <v>58.333333333333336</v>
      </c>
      <c r="CL27" s="93">
        <f t="shared" si="8"/>
        <v>1.8105263157894735</v>
      </c>
      <c r="CM27" s="93">
        <f t="shared" si="9"/>
        <v>7.1734475374732334</v>
      </c>
      <c r="CN27" s="93">
        <f t="shared" si="10"/>
        <v>35.294117647058826</v>
      </c>
      <c r="CO27" s="93">
        <f t="shared" si="11"/>
        <v>12.931034482758619</v>
      </c>
      <c r="CP27" s="93">
        <f t="shared" si="12"/>
        <v>184.42822384428223</v>
      </c>
      <c r="CQ27" s="93">
        <f t="shared" si="13"/>
        <v>364.97326203208553</v>
      </c>
      <c r="CR27" s="93">
        <f t="shared" si="14"/>
        <v>712.59842519685037</v>
      </c>
      <c r="CS27" s="93">
        <f t="shared" si="15"/>
        <v>1378.0918727915196</v>
      </c>
      <c r="CT27" s="93">
        <f t="shared" si="16"/>
        <v>2253.7764350453172</v>
      </c>
      <c r="CU27" s="93">
        <f t="shared" si="17"/>
        <v>2803.9215686274511</v>
      </c>
      <c r="CV27" s="93">
        <f t="shared" si="18"/>
        <v>3852.9411764705878</v>
      </c>
      <c r="CW27" s="93">
        <f t="shared" si="19"/>
        <v>4838.5826771653547</v>
      </c>
    </row>
    <row r="28" spans="1:101" s="98" customFormat="1">
      <c r="A28" s="3" t="s">
        <v>269</v>
      </c>
      <c r="B28" s="3" t="s">
        <v>268</v>
      </c>
      <c r="C28" s="3"/>
      <c r="D28" s="93">
        <v>7.327</v>
      </c>
      <c r="E28" s="94">
        <v>0.1898</v>
      </c>
      <c r="F28" s="94">
        <v>1E-3</v>
      </c>
      <c r="G28" s="95">
        <v>13.66</v>
      </c>
      <c r="H28" s="96">
        <v>0.35</v>
      </c>
      <c r="I28" s="97">
        <v>0.52290000000000003</v>
      </c>
      <c r="J28" s="95">
        <v>1.2E-2</v>
      </c>
      <c r="K28" s="96">
        <v>0.82515000000000005</v>
      </c>
      <c r="M28" s="99">
        <v>2711</v>
      </c>
      <c r="N28" s="98">
        <v>49</v>
      </c>
      <c r="O28" s="99">
        <v>2740</v>
      </c>
      <c r="P28" s="98">
        <v>4</v>
      </c>
      <c r="Q28" s="93">
        <v>1.05</v>
      </c>
      <c r="R28" s="97">
        <v>3.3999999999999998E-3</v>
      </c>
      <c r="T28" s="98">
        <v>227</v>
      </c>
      <c r="U28" s="98">
        <v>82</v>
      </c>
      <c r="V28" s="98">
        <v>0.8</v>
      </c>
      <c r="W28" s="98">
        <v>1.4</v>
      </c>
      <c r="X28" s="98" t="s">
        <v>250</v>
      </c>
      <c r="Y28" s="98" t="s">
        <v>250</v>
      </c>
      <c r="Z28" s="98">
        <v>1.97</v>
      </c>
      <c r="AA28" s="98">
        <v>0.77</v>
      </c>
      <c r="AB28" s="98">
        <v>0.81</v>
      </c>
      <c r="AC28" s="98">
        <v>0.32</v>
      </c>
      <c r="AD28" s="98">
        <v>2710</v>
      </c>
      <c r="AE28" s="98">
        <v>250</v>
      </c>
      <c r="AF28" s="95">
        <v>6.4000000000000001E-2</v>
      </c>
      <c r="AG28" s="97">
        <v>2.5999999999999999E-2</v>
      </c>
      <c r="AH28" s="96">
        <v>20.6</v>
      </c>
      <c r="AI28" s="96">
        <v>2.4</v>
      </c>
      <c r="AJ28" s="95">
        <v>0.498</v>
      </c>
      <c r="AK28" s="95">
        <v>7.9000000000000001E-2</v>
      </c>
      <c r="AL28" s="96">
        <v>8.5</v>
      </c>
      <c r="AM28" s="96">
        <v>1.7</v>
      </c>
      <c r="AN28" s="96">
        <v>15.2</v>
      </c>
      <c r="AO28" s="96">
        <v>1.3</v>
      </c>
      <c r="AP28" s="96">
        <v>1.45</v>
      </c>
      <c r="AQ28" s="96">
        <v>0.48</v>
      </c>
      <c r="AR28" s="96">
        <v>74.2</v>
      </c>
      <c r="AS28" s="93">
        <v>9.6999999999999993</v>
      </c>
      <c r="AT28" s="96">
        <v>22.3</v>
      </c>
      <c r="AU28" s="96">
        <v>1.8</v>
      </c>
      <c r="AV28" s="99">
        <v>241</v>
      </c>
      <c r="AW28" s="98">
        <v>18</v>
      </c>
      <c r="AX28" s="98">
        <v>82.3</v>
      </c>
      <c r="AY28" s="98">
        <v>7</v>
      </c>
      <c r="AZ28" s="98">
        <v>372</v>
      </c>
      <c r="BA28" s="98">
        <v>31</v>
      </c>
      <c r="BB28" s="98">
        <v>72.900000000000006</v>
      </c>
      <c r="BC28" s="98">
        <v>6.5</v>
      </c>
      <c r="BD28" s="98">
        <v>613</v>
      </c>
      <c r="BE28" s="98">
        <v>57</v>
      </c>
      <c r="BF28" s="98">
        <v>108.8</v>
      </c>
      <c r="BG28" s="98">
        <v>8.8000000000000007</v>
      </c>
      <c r="BI28" s="93">
        <v>10.6</v>
      </c>
      <c r="BJ28" s="98">
        <v>3.8</v>
      </c>
      <c r="BK28" s="98">
        <v>539000</v>
      </c>
      <c r="BL28" s="98">
        <v>49000</v>
      </c>
      <c r="BM28" s="98">
        <v>7650</v>
      </c>
      <c r="BN28" s="98">
        <v>660</v>
      </c>
      <c r="BO28" s="99">
        <v>152</v>
      </c>
      <c r="BP28" s="98">
        <v>11</v>
      </c>
      <c r="BQ28" s="99">
        <v>144.69999999999999</v>
      </c>
      <c r="BR28" s="98">
        <v>9.9</v>
      </c>
      <c r="BT28" s="95">
        <f t="shared" si="0"/>
        <v>0.2360522022838499</v>
      </c>
      <c r="BU28" s="96">
        <f t="shared" si="1"/>
        <v>2.4235294117647062</v>
      </c>
      <c r="BV28" s="96">
        <f t="shared" si="2"/>
        <v>70.457516339869287</v>
      </c>
      <c r="BW28" s="96">
        <f t="shared" si="3"/>
        <v>1.0504492052522461</v>
      </c>
      <c r="BX28" s="99">
        <f t="shared" si="26"/>
        <v>28.290922923332467</v>
      </c>
      <c r="BY28" s="96">
        <f t="shared" si="4"/>
        <v>2.4235294117647062</v>
      </c>
      <c r="BZ28" s="97">
        <f t="shared" si="5"/>
        <v>8.942912958541351E-4</v>
      </c>
      <c r="CA28" s="95">
        <f t="shared" si="6"/>
        <v>0.13199816401597847</v>
      </c>
      <c r="CB28" s="99">
        <f t="shared" si="20"/>
        <v>236.80699334198695</v>
      </c>
      <c r="CC28" s="99">
        <f t="shared" si="20"/>
        <v>16.201722419389572</v>
      </c>
      <c r="CD28" s="100">
        <f t="shared" si="21"/>
        <v>779.30723153040083</v>
      </c>
      <c r="CE28" s="100">
        <f t="shared" si="22"/>
        <v>821.57466938293862</v>
      </c>
      <c r="CF28" s="100">
        <f t="shared" si="23"/>
        <v>41.009417703344113</v>
      </c>
      <c r="CG28" s="96">
        <f t="shared" si="24"/>
        <v>0.73992793319319961</v>
      </c>
      <c r="CH28" s="96">
        <f t="shared" si="25"/>
        <v>0.44330240041680985</v>
      </c>
      <c r="CJ28" s="95">
        <f t="shared" si="27"/>
        <v>0.27004219409282704</v>
      </c>
      <c r="CK28" s="93">
        <f t="shared" si="7"/>
        <v>33.66013071895425</v>
      </c>
      <c r="CL28" s="93">
        <f t="shared" si="8"/>
        <v>5.242105263157895</v>
      </c>
      <c r="CM28" s="93">
        <f t="shared" si="9"/>
        <v>18.201284796573876</v>
      </c>
      <c r="CN28" s="93">
        <f t="shared" si="10"/>
        <v>99.346405228758172</v>
      </c>
      <c r="CO28" s="93">
        <f t="shared" si="11"/>
        <v>24.999999999999996</v>
      </c>
      <c r="CP28" s="93">
        <f t="shared" si="12"/>
        <v>361.07055961070563</v>
      </c>
      <c r="CQ28" s="93">
        <f t="shared" si="13"/>
        <v>596.2566844919786</v>
      </c>
      <c r="CR28" s="93">
        <f t="shared" si="14"/>
        <v>948.81889763779532</v>
      </c>
      <c r="CS28" s="93">
        <f t="shared" si="15"/>
        <v>1454.0636042402828</v>
      </c>
      <c r="CT28" s="93">
        <f t="shared" si="16"/>
        <v>2247.7341389728094</v>
      </c>
      <c r="CU28" s="93">
        <f t="shared" si="17"/>
        <v>2858.8235294117653</v>
      </c>
      <c r="CV28" s="93">
        <f t="shared" si="18"/>
        <v>3605.8823529411761</v>
      </c>
      <c r="CW28" s="93">
        <f t="shared" si="19"/>
        <v>4283.464566929134</v>
      </c>
    </row>
    <row r="29" spans="1:101" s="98" customFormat="1">
      <c r="A29" s="3" t="s">
        <v>270</v>
      </c>
      <c r="B29" s="3" t="s">
        <v>268</v>
      </c>
      <c r="C29" s="3"/>
      <c r="D29" s="93">
        <v>7.0119999999999996</v>
      </c>
      <c r="E29" s="94">
        <v>0.19045000000000001</v>
      </c>
      <c r="F29" s="94">
        <v>8.4999999999999995E-4</v>
      </c>
      <c r="G29" s="95">
        <v>13.95</v>
      </c>
      <c r="H29" s="96">
        <v>0.35</v>
      </c>
      <c r="I29" s="97">
        <v>0.5323</v>
      </c>
      <c r="J29" s="95">
        <v>1.2E-2</v>
      </c>
      <c r="K29" s="96">
        <v>0.86446999999999996</v>
      </c>
      <c r="M29" s="99">
        <v>2751</v>
      </c>
      <c r="N29" s="98">
        <v>50</v>
      </c>
      <c r="O29" s="99">
        <v>2746</v>
      </c>
      <c r="P29" s="98">
        <v>4.9000000000000004</v>
      </c>
      <c r="Q29" s="93">
        <v>-0.18</v>
      </c>
      <c r="R29" s="97">
        <v>1.4E-3</v>
      </c>
      <c r="T29" s="98">
        <v>380</v>
      </c>
      <c r="U29" s="98">
        <v>130</v>
      </c>
      <c r="V29" s="98">
        <v>0.91</v>
      </c>
      <c r="W29" s="98">
        <v>0.66</v>
      </c>
      <c r="X29" s="98">
        <v>0.28000000000000003</v>
      </c>
      <c r="Y29" s="98">
        <v>0.21</v>
      </c>
      <c r="Z29" s="98">
        <v>2.13</v>
      </c>
      <c r="AA29" s="98">
        <v>0.91</v>
      </c>
      <c r="AB29" s="98">
        <v>1.1499999999999999</v>
      </c>
      <c r="AC29" s="98">
        <v>0.41</v>
      </c>
      <c r="AD29" s="98">
        <v>3240</v>
      </c>
      <c r="AE29" s="98">
        <v>300</v>
      </c>
      <c r="AF29" s="95">
        <v>9.7000000000000003E-2</v>
      </c>
      <c r="AG29" s="97">
        <v>2.5999999999999999E-2</v>
      </c>
      <c r="AH29" s="96">
        <v>21.1</v>
      </c>
      <c r="AI29" s="96">
        <v>2.8</v>
      </c>
      <c r="AJ29" s="95">
        <v>0.6</v>
      </c>
      <c r="AK29" s="95">
        <v>0.15</v>
      </c>
      <c r="AL29" s="96">
        <v>9.5</v>
      </c>
      <c r="AM29" s="96">
        <v>1.5</v>
      </c>
      <c r="AN29" s="96">
        <v>18.3</v>
      </c>
      <c r="AO29" s="96">
        <v>2.2999999999999998</v>
      </c>
      <c r="AP29" s="96">
        <v>2.3199999999999998</v>
      </c>
      <c r="AQ29" s="96">
        <v>0.56999999999999995</v>
      </c>
      <c r="AR29" s="96">
        <v>94</v>
      </c>
      <c r="AS29" s="93">
        <v>11</v>
      </c>
      <c r="AT29" s="96">
        <v>28.9</v>
      </c>
      <c r="AU29" s="96">
        <v>2.4</v>
      </c>
      <c r="AV29" s="99">
        <v>317</v>
      </c>
      <c r="AW29" s="98">
        <v>25</v>
      </c>
      <c r="AX29" s="98">
        <v>104.5</v>
      </c>
      <c r="AY29" s="98">
        <v>7.9</v>
      </c>
      <c r="AZ29" s="98">
        <v>486</v>
      </c>
      <c r="BA29" s="98">
        <v>34</v>
      </c>
      <c r="BB29" s="98">
        <v>84.9</v>
      </c>
      <c r="BC29" s="98">
        <v>8.6</v>
      </c>
      <c r="BD29" s="98">
        <v>726</v>
      </c>
      <c r="BE29" s="98">
        <v>54</v>
      </c>
      <c r="BF29" s="98">
        <v>130.9</v>
      </c>
      <c r="BG29" s="98">
        <v>9.1999999999999993</v>
      </c>
      <c r="BI29" s="93">
        <v>13.1</v>
      </c>
      <c r="BJ29" s="98">
        <v>3.1</v>
      </c>
      <c r="BK29" s="98">
        <v>516000</v>
      </c>
      <c r="BL29" s="98">
        <v>36000</v>
      </c>
      <c r="BM29" s="98">
        <v>8310</v>
      </c>
      <c r="BN29" s="98">
        <v>470</v>
      </c>
      <c r="BO29" s="99">
        <v>212</v>
      </c>
      <c r="BP29" s="98">
        <v>15</v>
      </c>
      <c r="BQ29" s="99">
        <v>161</v>
      </c>
      <c r="BR29" s="98">
        <v>11</v>
      </c>
      <c r="BT29" s="95">
        <f t="shared" si="0"/>
        <v>0.22176308539944903</v>
      </c>
      <c r="BU29" s="96">
        <f t="shared" si="1"/>
        <v>2.2210526315789476</v>
      </c>
      <c r="BV29" s="96">
        <f t="shared" si="2"/>
        <v>62.093862815884478</v>
      </c>
      <c r="BW29" s="96">
        <f t="shared" si="3"/>
        <v>1.3167701863354038</v>
      </c>
      <c r="BX29" s="99">
        <f t="shared" si="26"/>
        <v>21.443986072010979</v>
      </c>
      <c r="BY29" s="96">
        <f t="shared" si="4"/>
        <v>2.2210526315789476</v>
      </c>
      <c r="BZ29" s="97">
        <f t="shared" si="5"/>
        <v>6.8551007147498388E-4</v>
      </c>
      <c r="CA29" s="95">
        <f t="shared" si="6"/>
        <v>0.17101025247843488</v>
      </c>
      <c r="CB29" s="99">
        <f t="shared" si="20"/>
        <v>263.48255651734559</v>
      </c>
      <c r="CC29" s="99">
        <f t="shared" si="20"/>
        <v>18.001913799321745</v>
      </c>
      <c r="CD29" s="100">
        <f t="shared" si="21"/>
        <v>800.96626741363013</v>
      </c>
      <c r="CE29" s="100">
        <f t="shared" si="22"/>
        <v>845.0277072529999</v>
      </c>
      <c r="CF29" s="100">
        <f t="shared" si="23"/>
        <v>29.648168277455543</v>
      </c>
      <c r="CG29" s="96">
        <f t="shared" si="24"/>
        <v>0.50553078382697758</v>
      </c>
      <c r="CH29" s="96">
        <f t="shared" si="25"/>
        <v>0.36533234530319803</v>
      </c>
      <c r="CJ29" s="95">
        <f t="shared" si="27"/>
        <v>0.40928270042194098</v>
      </c>
      <c r="CK29" s="93">
        <f t="shared" si="7"/>
        <v>34.477124183006538</v>
      </c>
      <c r="CL29" s="93">
        <f t="shared" si="8"/>
        <v>6.3157894736842106</v>
      </c>
      <c r="CM29" s="93">
        <f t="shared" si="9"/>
        <v>20.342612419700213</v>
      </c>
      <c r="CN29" s="93">
        <f t="shared" si="10"/>
        <v>119.6078431372549</v>
      </c>
      <c r="CO29" s="93">
        <f t="shared" si="11"/>
        <v>39.999999999999993</v>
      </c>
      <c r="CP29" s="93">
        <f t="shared" si="12"/>
        <v>457.42092457420927</v>
      </c>
      <c r="CQ29" s="93">
        <f t="shared" si="13"/>
        <v>772.72727272727263</v>
      </c>
      <c r="CR29" s="93">
        <f t="shared" si="14"/>
        <v>1248.0314960629921</v>
      </c>
      <c r="CS29" s="93">
        <f t="shared" si="15"/>
        <v>1846.2897526501768</v>
      </c>
      <c r="CT29" s="93">
        <f t="shared" si="16"/>
        <v>2936.5558912386705</v>
      </c>
      <c r="CU29" s="93">
        <f t="shared" si="17"/>
        <v>3329.4117647058829</v>
      </c>
      <c r="CV29" s="93">
        <f t="shared" si="18"/>
        <v>4270.5882352941171</v>
      </c>
      <c r="CW29" s="93">
        <f t="shared" si="19"/>
        <v>5153.5433070866147</v>
      </c>
    </row>
    <row r="30" spans="1:101" s="98" customFormat="1">
      <c r="A30" s="3" t="s">
        <v>271</v>
      </c>
      <c r="B30" s="3" t="s">
        <v>268</v>
      </c>
      <c r="C30" s="3"/>
      <c r="D30" s="93">
        <v>7.0279999999999996</v>
      </c>
      <c r="E30" s="94">
        <v>0.18987000000000001</v>
      </c>
      <c r="F30" s="94">
        <v>7.3999999999999999E-4</v>
      </c>
      <c r="G30" s="95">
        <v>13.95</v>
      </c>
      <c r="H30" s="96">
        <v>0.35</v>
      </c>
      <c r="I30" s="97">
        <v>0.53420000000000001</v>
      </c>
      <c r="J30" s="95">
        <v>1.2E-2</v>
      </c>
      <c r="K30" s="96">
        <v>0.89297000000000004</v>
      </c>
      <c r="M30" s="99">
        <v>2759</v>
      </c>
      <c r="N30" s="98">
        <v>49</v>
      </c>
      <c r="O30" s="99">
        <v>2740.8</v>
      </c>
      <c r="P30" s="98">
        <v>3</v>
      </c>
      <c r="Q30" s="93">
        <v>-0.67</v>
      </c>
      <c r="R30" s="97">
        <v>3.5E-4</v>
      </c>
      <c r="T30" s="98">
        <v>380</v>
      </c>
      <c r="U30" s="98">
        <v>140</v>
      </c>
      <c r="V30" s="98">
        <v>0.8</v>
      </c>
      <c r="W30" s="98">
        <v>1</v>
      </c>
      <c r="X30" s="98">
        <v>0.54</v>
      </c>
      <c r="Y30" s="98">
        <v>0.35</v>
      </c>
      <c r="Z30" s="98">
        <v>3.27</v>
      </c>
      <c r="AA30" s="98">
        <v>0.94</v>
      </c>
      <c r="AB30" s="98">
        <v>1.27</v>
      </c>
      <c r="AC30" s="98">
        <v>0.35</v>
      </c>
      <c r="AD30" s="98">
        <v>3160</v>
      </c>
      <c r="AE30" s="98">
        <v>370</v>
      </c>
      <c r="AF30" s="95">
        <v>5.0999999999999997E-2</v>
      </c>
      <c r="AG30" s="97">
        <v>3.4000000000000002E-2</v>
      </c>
      <c r="AH30" s="96">
        <v>29</v>
      </c>
      <c r="AI30" s="96">
        <v>3.5</v>
      </c>
      <c r="AJ30" s="95">
        <v>0.47</v>
      </c>
      <c r="AK30" s="95">
        <v>0.15</v>
      </c>
      <c r="AL30" s="96">
        <v>5.9</v>
      </c>
      <c r="AM30" s="96">
        <v>1.1000000000000001</v>
      </c>
      <c r="AN30" s="96">
        <v>11.1</v>
      </c>
      <c r="AO30" s="96">
        <v>2</v>
      </c>
      <c r="AP30" s="96">
        <v>2.1</v>
      </c>
      <c r="AQ30" s="96">
        <v>0.39</v>
      </c>
      <c r="AR30" s="96">
        <v>77</v>
      </c>
      <c r="AS30" s="93">
        <v>14</v>
      </c>
      <c r="AT30" s="96">
        <v>24.1</v>
      </c>
      <c r="AU30" s="96">
        <v>2.6</v>
      </c>
      <c r="AV30" s="99">
        <v>279</v>
      </c>
      <c r="AW30" s="98">
        <v>32</v>
      </c>
      <c r="AX30" s="98">
        <v>96</v>
      </c>
      <c r="AY30" s="98">
        <v>11</v>
      </c>
      <c r="AZ30" s="98">
        <v>447</v>
      </c>
      <c r="BA30" s="98">
        <v>36</v>
      </c>
      <c r="BB30" s="98">
        <v>91.6</v>
      </c>
      <c r="BC30" s="98">
        <v>9.1999999999999993</v>
      </c>
      <c r="BD30" s="98">
        <v>733</v>
      </c>
      <c r="BE30" s="98">
        <v>75</v>
      </c>
      <c r="BF30" s="98">
        <v>134</v>
      </c>
      <c r="BG30" s="98">
        <v>14</v>
      </c>
      <c r="BI30" s="93">
        <v>12.5</v>
      </c>
      <c r="BJ30" s="98">
        <v>2.8</v>
      </c>
      <c r="BK30" s="98">
        <v>540000</v>
      </c>
      <c r="BL30" s="98">
        <v>39000</v>
      </c>
      <c r="BM30" s="98">
        <v>8700</v>
      </c>
      <c r="BN30" s="98">
        <v>1100</v>
      </c>
      <c r="BO30" s="99">
        <v>307</v>
      </c>
      <c r="BP30" s="98">
        <v>26</v>
      </c>
      <c r="BQ30" s="99">
        <v>289</v>
      </c>
      <c r="BR30" s="98">
        <v>25</v>
      </c>
      <c r="BT30" s="95">
        <f t="shared" si="0"/>
        <v>0.39427012278308321</v>
      </c>
      <c r="BU30" s="96">
        <f t="shared" si="1"/>
        <v>4.9152542372881349</v>
      </c>
      <c r="BV30" s="96">
        <f t="shared" si="2"/>
        <v>62.068965517241381</v>
      </c>
      <c r="BW30" s="96">
        <f t="shared" si="3"/>
        <v>1.0622837370242215</v>
      </c>
      <c r="BX30" s="99">
        <f t="shared" si="26"/>
        <v>45.924933317348732</v>
      </c>
      <c r="BY30" s="96">
        <f t="shared" si="4"/>
        <v>4.9152542372881349</v>
      </c>
      <c r="BZ30" s="97">
        <f t="shared" si="5"/>
        <v>1.5554602016734605E-3</v>
      </c>
      <c r="CA30" s="95">
        <f t="shared" si="6"/>
        <v>0.21960189210548908</v>
      </c>
      <c r="CB30" s="99">
        <f t="shared" si="20"/>
        <v>472.9593716367259</v>
      </c>
      <c r="CC30" s="99">
        <f t="shared" si="20"/>
        <v>40.913440453003972</v>
      </c>
      <c r="CD30" s="100">
        <f t="shared" si="21"/>
        <v>796.09443670499866</v>
      </c>
      <c r="CE30" s="100">
        <f t="shared" si="22"/>
        <v>839.74896492307118</v>
      </c>
      <c r="CF30" s="100">
        <f t="shared" si="23"/>
        <v>28.113440788101236</v>
      </c>
      <c r="CG30" s="96">
        <f t="shared" si="24"/>
        <v>0.59035898407242304</v>
      </c>
      <c r="CH30" s="96">
        <f t="shared" si="25"/>
        <v>0.35940000994343596</v>
      </c>
      <c r="CJ30" s="95">
        <f t="shared" si="27"/>
        <v>0.21518987341772153</v>
      </c>
      <c r="CK30" s="93">
        <f t="shared" si="7"/>
        <v>47.385620915032682</v>
      </c>
      <c r="CL30" s="93">
        <f t="shared" si="8"/>
        <v>4.947368421052631</v>
      </c>
      <c r="CM30" s="93">
        <f t="shared" si="9"/>
        <v>12.633832976445396</v>
      </c>
      <c r="CN30" s="93">
        <f t="shared" si="10"/>
        <v>72.549019607843135</v>
      </c>
      <c r="CO30" s="93">
        <f t="shared" si="11"/>
        <v>36.206896551724135</v>
      </c>
      <c r="CP30" s="93">
        <f t="shared" si="12"/>
        <v>374.69586374695865</v>
      </c>
      <c r="CQ30" s="93">
        <f t="shared" si="13"/>
        <v>644.38502673796791</v>
      </c>
      <c r="CR30" s="93">
        <f t="shared" si="14"/>
        <v>1098.4251968503936</v>
      </c>
      <c r="CS30" s="93">
        <f t="shared" si="15"/>
        <v>1696.113074204947</v>
      </c>
      <c r="CT30" s="93">
        <f t="shared" si="16"/>
        <v>2700.906344410876</v>
      </c>
      <c r="CU30" s="93">
        <f t="shared" si="17"/>
        <v>3592.1568627450979</v>
      </c>
      <c r="CV30" s="93">
        <f t="shared" si="18"/>
        <v>4311.7647058823522</v>
      </c>
      <c r="CW30" s="93">
        <f t="shared" si="19"/>
        <v>5275.5905511811025</v>
      </c>
    </row>
    <row r="31" spans="1:101" s="98" customFormat="1">
      <c r="A31" s="3" t="s">
        <v>272</v>
      </c>
      <c r="B31" s="3" t="s">
        <v>268</v>
      </c>
      <c r="C31" s="3"/>
      <c r="D31" s="93">
        <v>7.008</v>
      </c>
      <c r="E31" s="94">
        <v>0.19051000000000001</v>
      </c>
      <c r="F31" s="94">
        <v>7.5000000000000002E-4</v>
      </c>
      <c r="G31" s="95">
        <v>14.609</v>
      </c>
      <c r="H31" s="96">
        <v>0.36</v>
      </c>
      <c r="I31" s="97">
        <v>0.55740000000000001</v>
      </c>
      <c r="J31" s="95">
        <v>1.2E-2</v>
      </c>
      <c r="K31" s="96">
        <v>0.71904000000000001</v>
      </c>
      <c r="M31" s="99">
        <v>2856</v>
      </c>
      <c r="N31" s="98">
        <v>50</v>
      </c>
      <c r="O31" s="99">
        <v>2747.2</v>
      </c>
      <c r="P31" s="98">
        <v>2.4</v>
      </c>
      <c r="Q31" s="93">
        <v>-3.96</v>
      </c>
      <c r="R31" s="97">
        <v>0</v>
      </c>
      <c r="T31" s="98">
        <v>370</v>
      </c>
      <c r="U31" s="98">
        <v>150</v>
      </c>
      <c r="V31" s="98">
        <v>0.8</v>
      </c>
      <c r="W31" s="98">
        <v>1.3</v>
      </c>
      <c r="X31" s="98">
        <v>0.48</v>
      </c>
      <c r="Y31" s="98">
        <v>0.34</v>
      </c>
      <c r="Z31" s="98">
        <v>2.8</v>
      </c>
      <c r="AA31" s="98">
        <v>1</v>
      </c>
      <c r="AB31" s="98">
        <v>1.54</v>
      </c>
      <c r="AC31" s="98">
        <v>0.43</v>
      </c>
      <c r="AD31" s="98">
        <v>3760</v>
      </c>
      <c r="AE31" s="98">
        <v>350</v>
      </c>
      <c r="AF31" s="95">
        <v>5.2999999999999999E-2</v>
      </c>
      <c r="AG31" s="97">
        <v>2.4E-2</v>
      </c>
      <c r="AH31" s="96">
        <v>26.4</v>
      </c>
      <c r="AI31" s="96">
        <v>3.7</v>
      </c>
      <c r="AJ31" s="95">
        <v>0.62</v>
      </c>
      <c r="AK31" s="95">
        <v>0.15</v>
      </c>
      <c r="AL31" s="96">
        <v>9.4</v>
      </c>
      <c r="AM31" s="96">
        <v>1.3</v>
      </c>
      <c r="AN31" s="96">
        <v>15.8</v>
      </c>
      <c r="AO31" s="96">
        <v>2.7</v>
      </c>
      <c r="AP31" s="96">
        <v>1.83</v>
      </c>
      <c r="AQ31" s="96">
        <v>0.51</v>
      </c>
      <c r="AR31" s="96">
        <v>93</v>
      </c>
      <c r="AS31" s="93">
        <v>14</v>
      </c>
      <c r="AT31" s="96">
        <v>30.7</v>
      </c>
      <c r="AU31" s="96">
        <v>2.8</v>
      </c>
      <c r="AV31" s="99">
        <v>356</v>
      </c>
      <c r="AW31" s="98">
        <v>37</v>
      </c>
      <c r="AX31" s="98">
        <v>122</v>
      </c>
      <c r="AY31" s="98">
        <v>10</v>
      </c>
      <c r="AZ31" s="98">
        <v>556</v>
      </c>
      <c r="BA31" s="98">
        <v>46</v>
      </c>
      <c r="BB31" s="98">
        <v>102</v>
      </c>
      <c r="BC31" s="98">
        <v>8.1999999999999993</v>
      </c>
      <c r="BD31" s="98">
        <v>849</v>
      </c>
      <c r="BE31" s="98">
        <v>66</v>
      </c>
      <c r="BF31" s="98">
        <v>144</v>
      </c>
      <c r="BG31" s="98">
        <v>13</v>
      </c>
      <c r="BI31" s="93">
        <v>10.1</v>
      </c>
      <c r="BJ31" s="98">
        <v>2.6</v>
      </c>
      <c r="BK31" s="98">
        <v>517000</v>
      </c>
      <c r="BL31" s="98">
        <v>43000</v>
      </c>
      <c r="BM31" s="98">
        <v>7260</v>
      </c>
      <c r="BN31" s="98">
        <v>670</v>
      </c>
      <c r="BO31" s="99">
        <v>321</v>
      </c>
      <c r="BP31" s="98">
        <v>26</v>
      </c>
      <c r="BQ31" s="99">
        <v>278</v>
      </c>
      <c r="BR31" s="98">
        <v>22</v>
      </c>
      <c r="BT31" s="95">
        <f t="shared" si="0"/>
        <v>0.32744405182567726</v>
      </c>
      <c r="BU31" s="96">
        <f t="shared" si="1"/>
        <v>2.808510638297872</v>
      </c>
      <c r="BV31" s="96">
        <f t="shared" si="2"/>
        <v>71.212121212121218</v>
      </c>
      <c r="BW31" s="96">
        <f t="shared" si="3"/>
        <v>1.1546762589928057</v>
      </c>
      <c r="BX31" s="99">
        <f t="shared" si="26"/>
        <v>35.707109949098871</v>
      </c>
      <c r="BY31" s="96">
        <f t="shared" si="4"/>
        <v>2.808510638297872</v>
      </c>
      <c r="BZ31" s="97">
        <f t="shared" si="5"/>
        <v>7.469443186962425E-4</v>
      </c>
      <c r="CA31" s="95">
        <f t="shared" si="6"/>
        <v>0.14595020419297863</v>
      </c>
      <c r="CB31" s="99">
        <f t="shared" si="20"/>
        <v>454.95745783740415</v>
      </c>
      <c r="CC31" s="99">
        <f t="shared" si="20"/>
        <v>36.00382759864349</v>
      </c>
      <c r="CD31" s="100">
        <f t="shared" si="21"/>
        <v>774.48694920480659</v>
      </c>
      <c r="CE31" s="100">
        <f t="shared" si="22"/>
        <v>816.36039960649134</v>
      </c>
      <c r="CF31" s="100">
        <f t="shared" si="23"/>
        <v>30.366294320540781</v>
      </c>
      <c r="CG31" s="96">
        <f t="shared" si="24"/>
        <v>0.64592680436366523</v>
      </c>
      <c r="CH31" s="96">
        <f t="shared" si="25"/>
        <v>0.40276769797696932</v>
      </c>
      <c r="CJ31" s="95">
        <f t="shared" si="27"/>
        <v>0.22362869198312238</v>
      </c>
      <c r="CK31" s="93">
        <f t="shared" si="7"/>
        <v>43.13725490196078</v>
      </c>
      <c r="CL31" s="93">
        <f t="shared" si="8"/>
        <v>6.5263157894736841</v>
      </c>
      <c r="CM31" s="93">
        <f t="shared" si="9"/>
        <v>20.128479657387579</v>
      </c>
      <c r="CN31" s="93">
        <f t="shared" si="10"/>
        <v>103.26797385620915</v>
      </c>
      <c r="CO31" s="93">
        <f t="shared" si="11"/>
        <v>31.551724137931036</v>
      </c>
      <c r="CP31" s="93">
        <f t="shared" si="12"/>
        <v>452.55474452554745</v>
      </c>
      <c r="CQ31" s="93">
        <f t="shared" si="13"/>
        <v>820.85561497326194</v>
      </c>
      <c r="CR31" s="93">
        <f t="shared" si="14"/>
        <v>1401.5748031496062</v>
      </c>
      <c r="CS31" s="93">
        <f t="shared" si="15"/>
        <v>2155.4770318021201</v>
      </c>
      <c r="CT31" s="93">
        <f t="shared" si="16"/>
        <v>3359.5166163141994</v>
      </c>
      <c r="CU31" s="93">
        <f t="shared" si="17"/>
        <v>4000.0000000000005</v>
      </c>
      <c r="CV31" s="93">
        <f t="shared" si="18"/>
        <v>4994.1176470588234</v>
      </c>
      <c r="CW31" s="93">
        <f t="shared" si="19"/>
        <v>5669.2913385826778</v>
      </c>
    </row>
    <row r="32" spans="1:101" s="98" customFormat="1">
      <c r="A32" s="3" t="s">
        <v>273</v>
      </c>
      <c r="B32" s="3" t="s">
        <v>268</v>
      </c>
      <c r="C32" s="3"/>
      <c r="D32" s="93">
        <v>7.0179999999999998</v>
      </c>
      <c r="E32" s="94">
        <v>0.18976999999999999</v>
      </c>
      <c r="F32" s="94">
        <v>7.7999999999999999E-4</v>
      </c>
      <c r="G32" s="95">
        <v>14.042</v>
      </c>
      <c r="H32" s="96">
        <v>0.35</v>
      </c>
      <c r="I32" s="97">
        <v>0.53790000000000004</v>
      </c>
      <c r="J32" s="95">
        <v>1.2E-2</v>
      </c>
      <c r="K32" s="96">
        <v>0.85621000000000003</v>
      </c>
      <c r="M32" s="99">
        <v>2774.7</v>
      </c>
      <c r="N32" s="98">
        <v>49</v>
      </c>
      <c r="O32" s="99">
        <v>2740.4</v>
      </c>
      <c r="P32" s="98">
        <v>3.2</v>
      </c>
      <c r="Q32" s="93">
        <v>-1.25</v>
      </c>
      <c r="R32" s="97">
        <v>0</v>
      </c>
      <c r="T32" s="98">
        <v>370</v>
      </c>
      <c r="U32" s="98">
        <v>110</v>
      </c>
      <c r="V32" s="98">
        <v>0.9</v>
      </c>
      <c r="W32" s="98">
        <v>1.3</v>
      </c>
      <c r="X32" s="98">
        <v>0.18</v>
      </c>
      <c r="Y32" s="98">
        <v>0.16</v>
      </c>
      <c r="Z32" s="98">
        <v>2.74</v>
      </c>
      <c r="AA32" s="98">
        <v>0.46</v>
      </c>
      <c r="AB32" s="98">
        <v>1.08</v>
      </c>
      <c r="AC32" s="98">
        <v>0.34</v>
      </c>
      <c r="AD32" s="98">
        <v>3680</v>
      </c>
      <c r="AE32" s="98">
        <v>440</v>
      </c>
      <c r="AF32" s="95">
        <v>6.4000000000000001E-2</v>
      </c>
      <c r="AG32" s="97">
        <v>0.02</v>
      </c>
      <c r="AH32" s="96">
        <v>21.9</v>
      </c>
      <c r="AI32" s="96">
        <v>2.2999999999999998</v>
      </c>
      <c r="AJ32" s="95">
        <v>0.59</v>
      </c>
      <c r="AK32" s="95">
        <v>0.12</v>
      </c>
      <c r="AL32" s="96">
        <v>7.9</v>
      </c>
      <c r="AM32" s="96">
        <v>1.6</v>
      </c>
      <c r="AN32" s="96">
        <v>14.4</v>
      </c>
      <c r="AO32" s="96">
        <v>2.2999999999999998</v>
      </c>
      <c r="AP32" s="96">
        <v>1.51</v>
      </c>
      <c r="AQ32" s="96">
        <v>0.35</v>
      </c>
      <c r="AR32" s="96">
        <v>86.9</v>
      </c>
      <c r="AS32" s="93">
        <v>8.1</v>
      </c>
      <c r="AT32" s="96">
        <v>27.2</v>
      </c>
      <c r="AU32" s="96">
        <v>2.9</v>
      </c>
      <c r="AV32" s="99">
        <v>315</v>
      </c>
      <c r="AW32" s="98">
        <v>29</v>
      </c>
      <c r="AX32" s="98">
        <v>118</v>
      </c>
      <c r="AY32" s="98">
        <v>10</v>
      </c>
      <c r="AZ32" s="98">
        <v>543</v>
      </c>
      <c r="BA32" s="98">
        <v>51</v>
      </c>
      <c r="BB32" s="98">
        <v>103.1</v>
      </c>
      <c r="BC32" s="98">
        <v>8.9</v>
      </c>
      <c r="BD32" s="98">
        <v>791</v>
      </c>
      <c r="BE32" s="98">
        <v>69</v>
      </c>
      <c r="BF32" s="98">
        <v>154</v>
      </c>
      <c r="BG32" s="98">
        <v>17</v>
      </c>
      <c r="BI32" s="93">
        <v>9.6999999999999993</v>
      </c>
      <c r="BJ32" s="98">
        <v>3.1</v>
      </c>
      <c r="BK32" s="98">
        <v>530000</v>
      </c>
      <c r="BL32" s="98">
        <v>66000</v>
      </c>
      <c r="BM32" s="98">
        <v>8360</v>
      </c>
      <c r="BN32" s="98">
        <v>930</v>
      </c>
      <c r="BO32" s="99">
        <v>349</v>
      </c>
      <c r="BP32" s="98">
        <v>30</v>
      </c>
      <c r="BQ32" s="99">
        <v>282</v>
      </c>
      <c r="BR32" s="98">
        <v>24</v>
      </c>
      <c r="BT32" s="95">
        <f t="shared" si="0"/>
        <v>0.35651074589127685</v>
      </c>
      <c r="BU32" s="96">
        <f t="shared" si="1"/>
        <v>2.7721518987341769</v>
      </c>
      <c r="BV32" s="96">
        <f t="shared" si="2"/>
        <v>63.397129186602868</v>
      </c>
      <c r="BW32" s="96">
        <f t="shared" si="3"/>
        <v>1.2375886524822695</v>
      </c>
      <c r="BX32" s="99">
        <f t="shared" si="26"/>
        <v>27.632022606468556</v>
      </c>
      <c r="BY32" s="96">
        <f t="shared" si="4"/>
        <v>2.7721518987341769</v>
      </c>
      <c r="BZ32" s="97">
        <f t="shared" si="5"/>
        <v>7.5330214639515681E-4</v>
      </c>
      <c r="CA32" s="95">
        <f t="shared" si="6"/>
        <v>0.13049968037163703</v>
      </c>
      <c r="CB32" s="99">
        <f t="shared" si="20"/>
        <v>461.50360830988478</v>
      </c>
      <c r="CC32" s="99">
        <f t="shared" si="20"/>
        <v>39.276902834883813</v>
      </c>
      <c r="CD32" s="100">
        <f t="shared" si="21"/>
        <v>770.48945118121526</v>
      </c>
      <c r="CE32" s="100">
        <f t="shared" si="22"/>
        <v>812.03761921207808</v>
      </c>
      <c r="CF32" s="100">
        <f t="shared" si="23"/>
        <v>36.385053279617715</v>
      </c>
      <c r="CG32" s="96">
        <f t="shared" si="24"/>
        <v>0.34473308195976204</v>
      </c>
      <c r="CH32" s="96">
        <f t="shared" si="25"/>
        <v>0.39855002606289558</v>
      </c>
      <c r="CJ32" s="95">
        <f t="shared" si="27"/>
        <v>0.27004219409282704</v>
      </c>
      <c r="CK32" s="93">
        <f t="shared" si="7"/>
        <v>35.784313725490193</v>
      </c>
      <c r="CL32" s="93">
        <f t="shared" si="8"/>
        <v>6.2105263157894735</v>
      </c>
      <c r="CM32" s="93">
        <f t="shared" si="9"/>
        <v>16.916488222698071</v>
      </c>
      <c r="CN32" s="93">
        <f t="shared" si="10"/>
        <v>94.117647058823536</v>
      </c>
      <c r="CO32" s="93">
        <f t="shared" si="11"/>
        <v>26.034482758620687</v>
      </c>
      <c r="CP32" s="93">
        <f t="shared" si="12"/>
        <v>422.8710462287105</v>
      </c>
      <c r="CQ32" s="93">
        <f t="shared" si="13"/>
        <v>727.27272727272725</v>
      </c>
      <c r="CR32" s="93">
        <f t="shared" si="14"/>
        <v>1240.1574803149606</v>
      </c>
      <c r="CS32" s="93">
        <f t="shared" si="15"/>
        <v>2084.8056537102475</v>
      </c>
      <c r="CT32" s="93">
        <f t="shared" si="16"/>
        <v>3280.9667673716012</v>
      </c>
      <c r="CU32" s="93">
        <f t="shared" si="17"/>
        <v>4043.1372549019607</v>
      </c>
      <c r="CV32" s="93">
        <f t="shared" si="18"/>
        <v>4652.9411764705883</v>
      </c>
      <c r="CW32" s="93">
        <f t="shared" si="19"/>
        <v>6062.9921259842522</v>
      </c>
    </row>
    <row r="33" spans="1:101" s="98" customFormat="1">
      <c r="A33" s="3" t="s">
        <v>274</v>
      </c>
      <c r="B33" s="3" t="s">
        <v>268</v>
      </c>
      <c r="C33" s="3"/>
      <c r="D33" s="93">
        <v>7.101</v>
      </c>
      <c r="E33" s="94">
        <v>0.19033</v>
      </c>
      <c r="F33" s="94">
        <v>7.5000000000000002E-4</v>
      </c>
      <c r="G33" s="95">
        <v>13.99</v>
      </c>
      <c r="H33" s="96">
        <v>0.36</v>
      </c>
      <c r="I33" s="97">
        <v>0.53439999999999999</v>
      </c>
      <c r="J33" s="95">
        <v>1.2E-2</v>
      </c>
      <c r="K33" s="96">
        <v>0.92806</v>
      </c>
      <c r="M33" s="99">
        <v>2760</v>
      </c>
      <c r="N33" s="98">
        <v>50</v>
      </c>
      <c r="O33" s="99">
        <v>2746</v>
      </c>
      <c r="P33" s="98">
        <v>3.2</v>
      </c>
      <c r="Q33" s="93">
        <v>-0.5</v>
      </c>
      <c r="R33" s="97">
        <v>4.6000000000000001E-4</v>
      </c>
      <c r="T33" s="98">
        <v>180</v>
      </c>
      <c r="U33" s="98">
        <v>150</v>
      </c>
      <c r="V33" s="98">
        <v>0.15</v>
      </c>
      <c r="W33" s="98">
        <v>0.94</v>
      </c>
      <c r="X33" s="98">
        <v>0.22</v>
      </c>
      <c r="Y33" s="98">
        <v>0.17</v>
      </c>
      <c r="Z33" s="98">
        <v>1.78</v>
      </c>
      <c r="AA33" s="98">
        <v>0.85</v>
      </c>
      <c r="AB33" s="98">
        <v>0.54</v>
      </c>
      <c r="AC33" s="98">
        <v>0.2</v>
      </c>
      <c r="AD33" s="98">
        <v>2430</v>
      </c>
      <c r="AE33" s="98">
        <v>200</v>
      </c>
      <c r="AF33" s="95">
        <v>5.8999999999999997E-2</v>
      </c>
      <c r="AG33" s="97">
        <v>0.03</v>
      </c>
      <c r="AH33" s="96">
        <v>18.600000000000001</v>
      </c>
      <c r="AI33" s="96">
        <v>2.2000000000000002</v>
      </c>
      <c r="AJ33" s="95">
        <v>0.45</v>
      </c>
      <c r="AK33" s="95">
        <v>0.11</v>
      </c>
      <c r="AL33" s="96">
        <v>6.1</v>
      </c>
      <c r="AM33" s="96">
        <v>1.2</v>
      </c>
      <c r="AN33" s="96">
        <v>13.6</v>
      </c>
      <c r="AO33" s="96">
        <v>2.1</v>
      </c>
      <c r="AP33" s="96">
        <v>1.54</v>
      </c>
      <c r="AQ33" s="96">
        <v>0.3</v>
      </c>
      <c r="AR33" s="96">
        <v>60.4</v>
      </c>
      <c r="AS33" s="93">
        <v>9.4</v>
      </c>
      <c r="AT33" s="96">
        <v>20.9</v>
      </c>
      <c r="AU33" s="96">
        <v>2.5</v>
      </c>
      <c r="AV33" s="99">
        <v>236</v>
      </c>
      <c r="AW33" s="98">
        <v>26</v>
      </c>
      <c r="AX33" s="98">
        <v>82.5</v>
      </c>
      <c r="AY33" s="98">
        <v>9</v>
      </c>
      <c r="AZ33" s="98">
        <v>368</v>
      </c>
      <c r="BA33" s="98">
        <v>30</v>
      </c>
      <c r="BB33" s="98">
        <v>69.8</v>
      </c>
      <c r="BC33" s="98">
        <v>7.8</v>
      </c>
      <c r="BD33" s="98">
        <v>588</v>
      </c>
      <c r="BE33" s="98">
        <v>73</v>
      </c>
      <c r="BF33" s="98">
        <v>105</v>
      </c>
      <c r="BG33" s="98">
        <v>11</v>
      </c>
      <c r="BI33" s="93">
        <v>10.199999999999999</v>
      </c>
      <c r="BJ33" s="98">
        <v>3.5</v>
      </c>
      <c r="BK33" s="98">
        <v>509000</v>
      </c>
      <c r="BL33" s="98">
        <v>51000</v>
      </c>
      <c r="BM33" s="98">
        <v>6930</v>
      </c>
      <c r="BN33" s="98">
        <v>730</v>
      </c>
      <c r="BO33" s="99">
        <v>209</v>
      </c>
      <c r="BP33" s="98">
        <v>16</v>
      </c>
      <c r="BQ33" s="99">
        <v>191</v>
      </c>
      <c r="BR33" s="98">
        <v>15</v>
      </c>
      <c r="BT33" s="95">
        <f t="shared" si="0"/>
        <v>0.32482993197278914</v>
      </c>
      <c r="BU33" s="96">
        <f t="shared" si="1"/>
        <v>3.0491803278688527</v>
      </c>
      <c r="BV33" s="96">
        <f t="shared" si="2"/>
        <v>73.448773448773451</v>
      </c>
      <c r="BW33" s="96">
        <f t="shared" si="3"/>
        <v>1.0942408376963351</v>
      </c>
      <c r="BX33" s="99">
        <f t="shared" si="26"/>
        <v>27.9875727199286</v>
      </c>
      <c r="BY33" s="96">
        <f t="shared" si="4"/>
        <v>3.0491803278688527</v>
      </c>
      <c r="BZ33" s="97">
        <f t="shared" si="5"/>
        <v>1.2548067192875937E-3</v>
      </c>
      <c r="CA33" s="95">
        <f t="shared" si="6"/>
        <v>0.16426930976044948</v>
      </c>
      <c r="CB33" s="99">
        <f t="shared" si="20"/>
        <v>312.57868506095031</v>
      </c>
      <c r="CC33" s="99">
        <f t="shared" si="20"/>
        <v>24.548064271802382</v>
      </c>
      <c r="CD33" s="100">
        <f t="shared" si="21"/>
        <v>775.46623155621057</v>
      </c>
      <c r="CE33" s="100">
        <f t="shared" si="22"/>
        <v>817.41956870010711</v>
      </c>
      <c r="CF33" s="100">
        <f t="shared" si="23"/>
        <v>39.136892498349162</v>
      </c>
      <c r="CG33" s="96">
        <f t="shared" si="24"/>
        <v>0.35575538181121802</v>
      </c>
      <c r="CH33" s="96">
        <f t="shared" si="25"/>
        <v>0.42691824115577826</v>
      </c>
      <c r="CJ33" s="95">
        <f t="shared" si="27"/>
        <v>0.24894514767932491</v>
      </c>
      <c r="CK33" s="93">
        <f t="shared" si="7"/>
        <v>30.3921568627451</v>
      </c>
      <c r="CL33" s="93">
        <f t="shared" si="8"/>
        <v>4.7368421052631575</v>
      </c>
      <c r="CM33" s="93">
        <f t="shared" si="9"/>
        <v>13.062098501070663</v>
      </c>
      <c r="CN33" s="93">
        <f t="shared" si="10"/>
        <v>88.888888888888886</v>
      </c>
      <c r="CO33" s="93">
        <f t="shared" si="11"/>
        <v>26.551724137931032</v>
      </c>
      <c r="CP33" s="93">
        <f t="shared" si="12"/>
        <v>293.91727493917278</v>
      </c>
      <c r="CQ33" s="93">
        <f t="shared" si="13"/>
        <v>558.82352941176464</v>
      </c>
      <c r="CR33" s="93">
        <f t="shared" si="14"/>
        <v>929.1338582677165</v>
      </c>
      <c r="CS33" s="93">
        <f t="shared" si="15"/>
        <v>1457.5971731448765</v>
      </c>
      <c r="CT33" s="93">
        <f t="shared" si="16"/>
        <v>2223.5649546827794</v>
      </c>
      <c r="CU33" s="93">
        <f t="shared" si="17"/>
        <v>2737.2549019607845</v>
      </c>
      <c r="CV33" s="93">
        <f t="shared" si="18"/>
        <v>3458.8235294117644</v>
      </c>
      <c r="CW33" s="93">
        <f t="shared" si="19"/>
        <v>4133.8582677165359</v>
      </c>
    </row>
    <row r="34" spans="1:101" s="98" customFormat="1">
      <c r="A34" s="3" t="s">
        <v>275</v>
      </c>
      <c r="B34" s="3" t="s">
        <v>268</v>
      </c>
      <c r="C34" s="3"/>
      <c r="D34" s="93">
        <v>7.02</v>
      </c>
      <c r="E34" s="94">
        <v>0.19006000000000001</v>
      </c>
      <c r="F34" s="94">
        <v>9.3999999999999997E-4</v>
      </c>
      <c r="G34" s="95">
        <v>14.15</v>
      </c>
      <c r="H34" s="96">
        <v>0.35</v>
      </c>
      <c r="I34" s="97">
        <v>0.54110000000000003</v>
      </c>
      <c r="J34" s="95">
        <v>1.2E-2</v>
      </c>
      <c r="K34" s="96">
        <v>0.80659999999999998</v>
      </c>
      <c r="M34" s="99">
        <v>2788</v>
      </c>
      <c r="N34" s="98">
        <v>50</v>
      </c>
      <c r="O34" s="99">
        <v>2741.7</v>
      </c>
      <c r="P34" s="98">
        <v>2.9</v>
      </c>
      <c r="Q34" s="93">
        <v>-1.69</v>
      </c>
      <c r="R34" s="97">
        <v>0</v>
      </c>
      <c r="T34" s="98">
        <v>369</v>
      </c>
      <c r="U34" s="98">
        <v>78</v>
      </c>
      <c r="V34" s="98" t="s">
        <v>250</v>
      </c>
      <c r="W34" s="98" t="s">
        <v>250</v>
      </c>
      <c r="X34" s="98">
        <v>0.21</v>
      </c>
      <c r="Y34" s="98">
        <v>0.23</v>
      </c>
      <c r="Z34" s="98">
        <v>4.55</v>
      </c>
      <c r="AA34" s="98">
        <v>0.84</v>
      </c>
      <c r="AB34" s="98">
        <v>2.11</v>
      </c>
      <c r="AC34" s="98">
        <v>0.5</v>
      </c>
      <c r="AD34" s="98">
        <v>1990</v>
      </c>
      <c r="AE34" s="98">
        <v>180</v>
      </c>
      <c r="AF34" s="95">
        <v>9.4999999999999998E-3</v>
      </c>
      <c r="AG34" s="97">
        <v>8.8999999999999999E-3</v>
      </c>
      <c r="AH34" s="96">
        <v>43.5</v>
      </c>
      <c r="AI34" s="96">
        <v>3.7</v>
      </c>
      <c r="AJ34" s="95">
        <v>0.109</v>
      </c>
      <c r="AK34" s="95">
        <v>4.4999999999999998E-2</v>
      </c>
      <c r="AL34" s="96">
        <v>2.2999999999999998</v>
      </c>
      <c r="AM34" s="96">
        <v>0.76</v>
      </c>
      <c r="AN34" s="96">
        <v>4.8</v>
      </c>
      <c r="AO34" s="96">
        <v>1.6</v>
      </c>
      <c r="AP34" s="96">
        <v>0.54</v>
      </c>
      <c r="AQ34" s="96">
        <v>0.18</v>
      </c>
      <c r="AR34" s="96">
        <v>33.4</v>
      </c>
      <c r="AS34" s="93">
        <v>3.5</v>
      </c>
      <c r="AT34" s="96">
        <v>11.9</v>
      </c>
      <c r="AU34" s="96">
        <v>1.7</v>
      </c>
      <c r="AV34" s="99">
        <v>153</v>
      </c>
      <c r="AW34" s="98">
        <v>23</v>
      </c>
      <c r="AX34" s="98">
        <v>64.900000000000006</v>
      </c>
      <c r="AY34" s="98">
        <v>7.7</v>
      </c>
      <c r="AZ34" s="98">
        <v>318</v>
      </c>
      <c r="BA34" s="98">
        <v>36</v>
      </c>
      <c r="BB34" s="98">
        <v>68.2</v>
      </c>
      <c r="BC34" s="98">
        <v>7.8</v>
      </c>
      <c r="BD34" s="98">
        <v>598</v>
      </c>
      <c r="BE34" s="98">
        <v>76</v>
      </c>
      <c r="BF34" s="98">
        <v>117</v>
      </c>
      <c r="BG34" s="98">
        <v>12</v>
      </c>
      <c r="BI34" s="93">
        <v>4.9000000000000004</v>
      </c>
      <c r="BJ34" s="98">
        <v>2.5</v>
      </c>
      <c r="BK34" s="98">
        <v>503000</v>
      </c>
      <c r="BL34" s="98">
        <v>45000</v>
      </c>
      <c r="BM34" s="98">
        <v>10600</v>
      </c>
      <c r="BN34" s="98">
        <v>1100</v>
      </c>
      <c r="BO34" s="99">
        <v>442</v>
      </c>
      <c r="BP34" s="98">
        <v>46</v>
      </c>
      <c r="BQ34" s="99">
        <v>517</v>
      </c>
      <c r="BR34" s="98">
        <v>47</v>
      </c>
      <c r="BT34" s="95">
        <f t="shared" si="0"/>
        <v>0.86454849498327757</v>
      </c>
      <c r="BU34" s="96">
        <f t="shared" si="1"/>
        <v>18.913043478260871</v>
      </c>
      <c r="BV34" s="96">
        <f t="shared" si="2"/>
        <v>47.452830188679243</v>
      </c>
      <c r="BW34" s="96">
        <f t="shared" si="3"/>
        <v>0.85493230174081236</v>
      </c>
      <c r="BX34" s="99">
        <f t="shared" si="26"/>
        <v>331.43529780966435</v>
      </c>
      <c r="BY34" s="96">
        <f t="shared" si="4"/>
        <v>18.913043478260871</v>
      </c>
      <c r="BZ34" s="97">
        <f t="shared" si="5"/>
        <v>9.5040419488748099E-3</v>
      </c>
      <c r="CA34" s="95">
        <f t="shared" si="6"/>
        <v>0.13038377249969552</v>
      </c>
      <c r="CB34" s="99">
        <f t="shared" si="20"/>
        <v>846.08994856812205</v>
      </c>
      <c r="CC34" s="99">
        <f t="shared" si="20"/>
        <v>76.917268051647454</v>
      </c>
      <c r="CD34" s="100">
        <f t="shared" si="21"/>
        <v>707.26915376082059</v>
      </c>
      <c r="CE34" s="100">
        <f t="shared" si="22"/>
        <v>743.8478640882181</v>
      </c>
      <c r="CF34" s="100">
        <f t="shared" si="23"/>
        <v>49.797817005126745</v>
      </c>
      <c r="CG34" s="96">
        <f t="shared" si="24"/>
        <v>1.6004349668256763</v>
      </c>
      <c r="CH34" s="96">
        <f t="shared" si="25"/>
        <v>0.58463358154374268</v>
      </c>
      <c r="CJ34" s="95">
        <f t="shared" si="27"/>
        <v>4.0084388185654012E-2</v>
      </c>
      <c r="CK34" s="93">
        <f t="shared" si="7"/>
        <v>71.078431372549019</v>
      </c>
      <c r="CL34" s="93">
        <f t="shared" si="8"/>
        <v>1.1473684210526316</v>
      </c>
      <c r="CM34" s="93">
        <f t="shared" si="9"/>
        <v>4.9250535331905771</v>
      </c>
      <c r="CN34" s="93">
        <f t="shared" si="10"/>
        <v>31.372549019607842</v>
      </c>
      <c r="CO34" s="93">
        <f t="shared" si="11"/>
        <v>9.3103448275862064</v>
      </c>
      <c r="CP34" s="93">
        <f t="shared" si="12"/>
        <v>162.53041362530413</v>
      </c>
      <c r="CQ34" s="93">
        <f t="shared" si="13"/>
        <v>318.18181818181819</v>
      </c>
      <c r="CR34" s="93">
        <f t="shared" si="14"/>
        <v>602.36220472440948</v>
      </c>
      <c r="CS34" s="93">
        <f t="shared" si="15"/>
        <v>1146.6431095406363</v>
      </c>
      <c r="CT34" s="93">
        <f t="shared" si="16"/>
        <v>1921.4501510574016</v>
      </c>
      <c r="CU34" s="93">
        <f t="shared" si="17"/>
        <v>2674.5098039215691</v>
      </c>
      <c r="CV34" s="93">
        <f t="shared" si="18"/>
        <v>3517.6470588235293</v>
      </c>
      <c r="CW34" s="93">
        <f t="shared" si="19"/>
        <v>4606.2992125984256</v>
      </c>
    </row>
    <row r="35" spans="1:101" s="98" customFormat="1">
      <c r="A35" s="3" t="s">
        <v>276</v>
      </c>
      <c r="B35" s="3" t="s">
        <v>268</v>
      </c>
      <c r="C35" s="3"/>
      <c r="D35" s="93">
        <v>7.0190000000000001</v>
      </c>
      <c r="E35" s="94">
        <v>0.18937999999999999</v>
      </c>
      <c r="F35" s="94">
        <v>5.8E-4</v>
      </c>
      <c r="G35" s="95">
        <v>13.93</v>
      </c>
      <c r="H35" s="96">
        <v>0.35</v>
      </c>
      <c r="I35" s="97">
        <v>0.53420000000000001</v>
      </c>
      <c r="J35" s="95">
        <v>1.2E-2</v>
      </c>
      <c r="K35" s="96">
        <v>0.87866999999999995</v>
      </c>
      <c r="M35" s="99">
        <v>2759</v>
      </c>
      <c r="N35" s="98">
        <v>49</v>
      </c>
      <c r="O35" s="99">
        <v>2739.5</v>
      </c>
      <c r="P35" s="98">
        <v>3.1</v>
      </c>
      <c r="Q35" s="93">
        <v>-0.72</v>
      </c>
      <c r="R35" s="97">
        <v>4.0000000000000003E-5</v>
      </c>
      <c r="T35" s="98">
        <v>376</v>
      </c>
      <c r="U35" s="98">
        <v>89</v>
      </c>
      <c r="V35" s="98">
        <v>0.5</v>
      </c>
      <c r="W35" s="98">
        <v>1</v>
      </c>
      <c r="X35" s="98">
        <v>0.28999999999999998</v>
      </c>
      <c r="Y35" s="98">
        <v>0.27</v>
      </c>
      <c r="Z35" s="98">
        <v>5.8</v>
      </c>
      <c r="AA35" s="98">
        <v>1.2</v>
      </c>
      <c r="AB35" s="98">
        <v>1.58</v>
      </c>
      <c r="AC35" s="98">
        <v>0.6</v>
      </c>
      <c r="AD35" s="98">
        <v>1920</v>
      </c>
      <c r="AE35" s="98">
        <v>160</v>
      </c>
      <c r="AF35" s="95">
        <v>4.5999999999999999E-3</v>
      </c>
      <c r="AG35" s="97">
        <v>7.0000000000000001E-3</v>
      </c>
      <c r="AH35" s="96">
        <v>27.6</v>
      </c>
      <c r="AI35" s="96">
        <v>3.1</v>
      </c>
      <c r="AJ35" s="95">
        <v>0.113</v>
      </c>
      <c r="AK35" s="95">
        <v>3.3000000000000002E-2</v>
      </c>
      <c r="AL35" s="96">
        <v>3.22</v>
      </c>
      <c r="AM35" s="96">
        <v>0.7</v>
      </c>
      <c r="AN35" s="96">
        <v>4.6100000000000003</v>
      </c>
      <c r="AO35" s="96">
        <v>0.83</v>
      </c>
      <c r="AP35" s="96">
        <v>0.9</v>
      </c>
      <c r="AQ35" s="96">
        <v>0.25</v>
      </c>
      <c r="AR35" s="96">
        <v>32.200000000000003</v>
      </c>
      <c r="AS35" s="93">
        <v>5.3</v>
      </c>
      <c r="AT35" s="96">
        <v>11.8</v>
      </c>
      <c r="AU35" s="96">
        <v>1.2</v>
      </c>
      <c r="AV35" s="99">
        <v>154</v>
      </c>
      <c r="AW35" s="98">
        <v>13</v>
      </c>
      <c r="AX35" s="98">
        <v>58.7</v>
      </c>
      <c r="AY35" s="98">
        <v>6</v>
      </c>
      <c r="AZ35" s="98">
        <v>324</v>
      </c>
      <c r="BA35" s="98">
        <v>26</v>
      </c>
      <c r="BB35" s="98">
        <v>64.900000000000006</v>
      </c>
      <c r="BC35" s="98">
        <v>5.6</v>
      </c>
      <c r="BD35" s="98">
        <v>609</v>
      </c>
      <c r="BE35" s="98">
        <v>65</v>
      </c>
      <c r="BF35" s="98">
        <v>124.4</v>
      </c>
      <c r="BG35" s="98">
        <v>9.9</v>
      </c>
      <c r="BI35" s="93">
        <v>7.2</v>
      </c>
      <c r="BJ35" s="98">
        <v>2.5</v>
      </c>
      <c r="BK35" s="98">
        <v>502000</v>
      </c>
      <c r="BL35" s="98">
        <v>36000</v>
      </c>
      <c r="BM35" s="98">
        <v>8680</v>
      </c>
      <c r="BN35" s="98">
        <v>650</v>
      </c>
      <c r="BO35" s="99">
        <v>137.5</v>
      </c>
      <c r="BP35" s="98">
        <v>9.4</v>
      </c>
      <c r="BQ35" s="99">
        <v>254</v>
      </c>
      <c r="BR35" s="98">
        <v>18</v>
      </c>
      <c r="BT35" s="95">
        <f t="shared" si="0"/>
        <v>0.41707717569786534</v>
      </c>
      <c r="BU35" s="96">
        <f t="shared" si="1"/>
        <v>8.5714285714285712</v>
      </c>
      <c r="BV35" s="96">
        <f t="shared" si="2"/>
        <v>57.834101382488477</v>
      </c>
      <c r="BW35" s="96">
        <f t="shared" si="3"/>
        <v>0.54133858267716539</v>
      </c>
      <c r="BX35" s="99">
        <f t="shared" si="26"/>
        <v>296.80792857292323</v>
      </c>
      <c r="BY35" s="96">
        <f t="shared" si="4"/>
        <v>8.5714285714285712</v>
      </c>
      <c r="BZ35" s="97">
        <f t="shared" si="5"/>
        <v>4.464285714285714E-3</v>
      </c>
      <c r="CA35" s="95">
        <f t="shared" si="6"/>
        <v>0.22583317786453677</v>
      </c>
      <c r="CB35" s="99">
        <f t="shared" si="20"/>
        <v>415.68055500252029</v>
      </c>
      <c r="CC35" s="99">
        <f t="shared" si="20"/>
        <v>29.457677126162856</v>
      </c>
      <c r="CD35" s="100">
        <f t="shared" si="21"/>
        <v>741.92196469747637</v>
      </c>
      <c r="CE35" s="100">
        <f t="shared" si="22"/>
        <v>781.18388704146867</v>
      </c>
      <c r="CF35" s="100">
        <f t="shared" si="23"/>
        <v>37.196483151778224</v>
      </c>
      <c r="CG35" s="96">
        <f t="shared" si="24"/>
        <v>1.0944232871090351</v>
      </c>
      <c r="CH35" s="96">
        <f t="shared" si="25"/>
        <v>0.44312000263509183</v>
      </c>
      <c r="CJ35" s="95">
        <f t="shared" si="27"/>
        <v>1.9409282700421943E-2</v>
      </c>
      <c r="CK35" s="93">
        <f t="shared" si="7"/>
        <v>45.098039215686278</v>
      </c>
      <c r="CL35" s="93">
        <f t="shared" si="8"/>
        <v>1.1894736842105262</v>
      </c>
      <c r="CM35" s="93">
        <f t="shared" si="9"/>
        <v>6.8950749464668091</v>
      </c>
      <c r="CN35" s="93">
        <f t="shared" si="10"/>
        <v>30.130718954248369</v>
      </c>
      <c r="CO35" s="93">
        <f t="shared" si="11"/>
        <v>15.517241379310345</v>
      </c>
      <c r="CP35" s="93">
        <f t="shared" si="12"/>
        <v>156.69099756691</v>
      </c>
      <c r="CQ35" s="93">
        <f t="shared" si="13"/>
        <v>315.50802139037432</v>
      </c>
      <c r="CR35" s="93">
        <f t="shared" si="14"/>
        <v>606.29921259842524</v>
      </c>
      <c r="CS35" s="93">
        <f t="shared" si="15"/>
        <v>1037.1024734982334</v>
      </c>
      <c r="CT35" s="93">
        <f t="shared" si="16"/>
        <v>1957.7039274924471</v>
      </c>
      <c r="CU35" s="93">
        <f t="shared" si="17"/>
        <v>2545.0980392156866</v>
      </c>
      <c r="CV35" s="93">
        <f t="shared" si="18"/>
        <v>3582.3529411764703</v>
      </c>
      <c r="CW35" s="93">
        <f t="shared" si="19"/>
        <v>4897.6377952755911</v>
      </c>
    </row>
    <row r="36" spans="1:101" s="98" customFormat="1">
      <c r="A36" s="3" t="s">
        <v>277</v>
      </c>
      <c r="B36" s="3" t="s">
        <v>268</v>
      </c>
      <c r="C36" s="3"/>
      <c r="D36" s="93">
        <v>7.1340000000000003</v>
      </c>
      <c r="E36" s="94">
        <v>0.18973999999999999</v>
      </c>
      <c r="F36" s="94">
        <v>7.5000000000000002E-4</v>
      </c>
      <c r="G36" s="95">
        <v>14.045999999999999</v>
      </c>
      <c r="H36" s="96">
        <v>0.35</v>
      </c>
      <c r="I36" s="97">
        <v>0.53810000000000002</v>
      </c>
      <c r="J36" s="95">
        <v>1.2E-2</v>
      </c>
      <c r="K36" s="96">
        <v>0.85126999999999997</v>
      </c>
      <c r="M36" s="99">
        <v>2776</v>
      </c>
      <c r="N36" s="98">
        <v>49</v>
      </c>
      <c r="O36" s="99">
        <v>2739.9</v>
      </c>
      <c r="P36" s="98">
        <v>2.2000000000000002</v>
      </c>
      <c r="Q36" s="93">
        <v>-1.3</v>
      </c>
      <c r="R36" s="97">
        <v>-6.0000000000000002E-5</v>
      </c>
      <c r="T36" s="98">
        <v>350</v>
      </c>
      <c r="U36" s="98">
        <v>110</v>
      </c>
      <c r="V36" s="98" t="s">
        <v>250</v>
      </c>
      <c r="W36" s="98" t="s">
        <v>250</v>
      </c>
      <c r="X36" s="98">
        <v>0.26</v>
      </c>
      <c r="Y36" s="98">
        <v>0.22</v>
      </c>
      <c r="Z36" s="98">
        <v>2.23</v>
      </c>
      <c r="AA36" s="98">
        <v>0.72</v>
      </c>
      <c r="AB36" s="98">
        <v>1.27</v>
      </c>
      <c r="AC36" s="98">
        <v>0.5</v>
      </c>
      <c r="AD36" s="98">
        <v>3890</v>
      </c>
      <c r="AE36" s="98">
        <v>380</v>
      </c>
      <c r="AF36" s="95">
        <v>4.5999999999999999E-2</v>
      </c>
      <c r="AG36" s="97">
        <v>2.7E-2</v>
      </c>
      <c r="AH36" s="96">
        <v>28.4</v>
      </c>
      <c r="AI36" s="96">
        <v>3.2</v>
      </c>
      <c r="AJ36" s="95">
        <v>0.57999999999999996</v>
      </c>
      <c r="AK36" s="95">
        <v>0.13</v>
      </c>
      <c r="AL36" s="96">
        <v>9.6999999999999993</v>
      </c>
      <c r="AM36" s="96">
        <v>1.7</v>
      </c>
      <c r="AN36" s="96">
        <v>17.600000000000001</v>
      </c>
      <c r="AO36" s="96">
        <v>1.5</v>
      </c>
      <c r="AP36" s="96">
        <v>1.72</v>
      </c>
      <c r="AQ36" s="96">
        <v>0.46</v>
      </c>
      <c r="AR36" s="96">
        <v>103</v>
      </c>
      <c r="AS36" s="93">
        <v>10</v>
      </c>
      <c r="AT36" s="96">
        <v>30.9</v>
      </c>
      <c r="AU36" s="96">
        <v>3.2</v>
      </c>
      <c r="AV36" s="99">
        <v>361</v>
      </c>
      <c r="AW36" s="98">
        <v>30</v>
      </c>
      <c r="AX36" s="98">
        <v>127</v>
      </c>
      <c r="AY36" s="98">
        <v>12</v>
      </c>
      <c r="AZ36" s="98">
        <v>540</v>
      </c>
      <c r="BA36" s="98">
        <v>46</v>
      </c>
      <c r="BB36" s="98">
        <v>99.2</v>
      </c>
      <c r="BC36" s="98">
        <v>9.6999999999999993</v>
      </c>
      <c r="BD36" s="98">
        <v>798</v>
      </c>
      <c r="BE36" s="98">
        <v>72</v>
      </c>
      <c r="BF36" s="98">
        <v>144</v>
      </c>
      <c r="BG36" s="98">
        <v>13</v>
      </c>
      <c r="BI36" s="93">
        <v>8</v>
      </c>
      <c r="BJ36" s="98">
        <v>2.5</v>
      </c>
      <c r="BK36" s="98">
        <v>511000</v>
      </c>
      <c r="BL36" s="98">
        <v>41000</v>
      </c>
      <c r="BM36" s="98">
        <v>7690</v>
      </c>
      <c r="BN36" s="98">
        <v>820</v>
      </c>
      <c r="BO36" s="99">
        <v>456</v>
      </c>
      <c r="BP36" s="98">
        <v>33</v>
      </c>
      <c r="BQ36" s="99">
        <v>374</v>
      </c>
      <c r="BR36" s="98">
        <v>27</v>
      </c>
      <c r="BT36" s="95">
        <f t="shared" si="0"/>
        <v>0.46867167919799496</v>
      </c>
      <c r="BU36" s="96">
        <f t="shared" si="1"/>
        <v>2.927835051546392</v>
      </c>
      <c r="BV36" s="96">
        <f t="shared" si="2"/>
        <v>66.449934980494149</v>
      </c>
      <c r="BW36" s="96">
        <f t="shared" si="3"/>
        <v>1.2192513368983957</v>
      </c>
      <c r="BX36" s="99">
        <f t="shared" si="26"/>
        <v>42.629474682822973</v>
      </c>
      <c r="BY36" s="96">
        <f t="shared" si="4"/>
        <v>2.927835051546392</v>
      </c>
      <c r="BZ36" s="97">
        <f t="shared" si="5"/>
        <v>7.5265682559033209E-4</v>
      </c>
      <c r="CA36" s="95">
        <f t="shared" si="6"/>
        <v>0.12350289434540196</v>
      </c>
      <c r="CB36" s="99">
        <f t="shared" si="20"/>
        <v>612.06506917693935</v>
      </c>
      <c r="CC36" s="99">
        <f t="shared" si="20"/>
        <v>44.186515689244288</v>
      </c>
      <c r="CD36" s="100">
        <f t="shared" si="21"/>
        <v>751.8402714949417</v>
      </c>
      <c r="CE36" s="100">
        <f t="shared" si="22"/>
        <v>791.88833728164389</v>
      </c>
      <c r="CF36" s="100">
        <f t="shared" si="23"/>
        <v>34.475362945946578</v>
      </c>
      <c r="CG36" s="96">
        <f t="shared" si="24"/>
        <v>0.71741445105476864</v>
      </c>
      <c r="CH36" s="96">
        <f t="shared" si="25"/>
        <v>0.40459412285244523</v>
      </c>
      <c r="CJ36" s="95">
        <f t="shared" si="27"/>
        <v>0.19409282700421943</v>
      </c>
      <c r="CK36" s="93">
        <f t="shared" si="7"/>
        <v>46.405228758169933</v>
      </c>
      <c r="CL36" s="93">
        <f t="shared" si="8"/>
        <v>6.1052631578947363</v>
      </c>
      <c r="CM36" s="93">
        <f t="shared" si="9"/>
        <v>20.770877944325481</v>
      </c>
      <c r="CN36" s="93">
        <f t="shared" si="10"/>
        <v>115.03267973856211</v>
      </c>
      <c r="CO36" s="93">
        <f t="shared" si="11"/>
        <v>29.655172413793103</v>
      </c>
      <c r="CP36" s="93">
        <f t="shared" si="12"/>
        <v>501.21654501216545</v>
      </c>
      <c r="CQ36" s="93">
        <f t="shared" si="13"/>
        <v>826.20320855614966</v>
      </c>
      <c r="CR36" s="93">
        <f t="shared" si="14"/>
        <v>1421.259842519685</v>
      </c>
      <c r="CS36" s="93">
        <f t="shared" si="15"/>
        <v>2243.8162544169613</v>
      </c>
      <c r="CT36" s="93">
        <f t="shared" si="16"/>
        <v>3262.8398791540785</v>
      </c>
      <c r="CU36" s="93">
        <f t="shared" si="17"/>
        <v>3890.1960784313728</v>
      </c>
      <c r="CV36" s="93">
        <f t="shared" si="18"/>
        <v>4694.1176470588234</v>
      </c>
      <c r="CW36" s="93">
        <f t="shared" si="19"/>
        <v>5669.2913385826778</v>
      </c>
    </row>
    <row r="37" spans="1:101" s="98" customFormat="1">
      <c r="A37" s="3" t="s">
        <v>278</v>
      </c>
      <c r="B37" s="3" t="s">
        <v>268</v>
      </c>
      <c r="C37" s="3"/>
      <c r="D37" s="93">
        <v>7.0289999999999999</v>
      </c>
      <c r="E37" s="94">
        <v>0.18978999999999999</v>
      </c>
      <c r="F37" s="94">
        <v>6.9999999999999999E-4</v>
      </c>
      <c r="G37" s="95">
        <v>13.92</v>
      </c>
      <c r="H37" s="96">
        <v>0.35</v>
      </c>
      <c r="I37" s="97">
        <v>0.53320000000000001</v>
      </c>
      <c r="J37" s="95">
        <v>1.2E-2</v>
      </c>
      <c r="K37" s="96">
        <v>0.89798999999999995</v>
      </c>
      <c r="M37" s="99">
        <v>2755</v>
      </c>
      <c r="N37" s="98">
        <v>49</v>
      </c>
      <c r="O37" s="99">
        <v>2740.6</v>
      </c>
      <c r="P37" s="98">
        <v>2.2999999999999998</v>
      </c>
      <c r="Q37" s="93">
        <v>-0.52</v>
      </c>
      <c r="R37" s="97">
        <v>-5.0000000000000002E-5</v>
      </c>
      <c r="T37" s="98">
        <v>480</v>
      </c>
      <c r="U37" s="98">
        <v>120</v>
      </c>
      <c r="V37" s="98" t="s">
        <v>250</v>
      </c>
      <c r="W37" s="98" t="s">
        <v>250</v>
      </c>
      <c r="X37" s="98">
        <v>0.33</v>
      </c>
      <c r="Y37" s="98">
        <v>0.19</v>
      </c>
      <c r="Z37" s="98">
        <v>2.36</v>
      </c>
      <c r="AA37" s="98">
        <v>0.87</v>
      </c>
      <c r="AB37" s="98">
        <v>1.29</v>
      </c>
      <c r="AC37" s="98">
        <v>0.55000000000000004</v>
      </c>
      <c r="AD37" s="98">
        <v>3610</v>
      </c>
      <c r="AE37" s="98">
        <v>360</v>
      </c>
      <c r="AF37" s="95">
        <v>6.0999999999999999E-2</v>
      </c>
      <c r="AG37" s="97">
        <v>3.4000000000000002E-2</v>
      </c>
      <c r="AH37" s="96">
        <v>25.2</v>
      </c>
      <c r="AI37" s="96">
        <v>3.2</v>
      </c>
      <c r="AJ37" s="95">
        <v>0.58099999999999996</v>
      </c>
      <c r="AK37" s="95">
        <v>0.09</v>
      </c>
      <c r="AL37" s="96">
        <v>7.9</v>
      </c>
      <c r="AM37" s="96">
        <v>2.2000000000000002</v>
      </c>
      <c r="AN37" s="96">
        <v>18.5</v>
      </c>
      <c r="AO37" s="96">
        <v>2.6</v>
      </c>
      <c r="AP37" s="96">
        <v>1.83</v>
      </c>
      <c r="AQ37" s="96">
        <v>0.35</v>
      </c>
      <c r="AR37" s="96">
        <v>92</v>
      </c>
      <c r="AS37" s="93">
        <v>12</v>
      </c>
      <c r="AT37" s="96">
        <v>29.5</v>
      </c>
      <c r="AU37" s="96">
        <v>3</v>
      </c>
      <c r="AV37" s="99">
        <v>331</v>
      </c>
      <c r="AW37" s="98">
        <v>38</v>
      </c>
      <c r="AX37" s="98">
        <v>121</v>
      </c>
      <c r="AY37" s="98">
        <v>15</v>
      </c>
      <c r="AZ37" s="98">
        <v>498</v>
      </c>
      <c r="BA37" s="98">
        <v>42</v>
      </c>
      <c r="BB37" s="98">
        <v>103.8</v>
      </c>
      <c r="BC37" s="98">
        <v>9.6999999999999993</v>
      </c>
      <c r="BD37" s="98">
        <v>793</v>
      </c>
      <c r="BE37" s="98">
        <v>86</v>
      </c>
      <c r="BF37" s="98">
        <v>151</v>
      </c>
      <c r="BG37" s="98">
        <v>16</v>
      </c>
      <c r="BI37" s="93">
        <v>9.3000000000000007</v>
      </c>
      <c r="BJ37" s="98">
        <v>3.6</v>
      </c>
      <c r="BK37" s="98">
        <v>495000</v>
      </c>
      <c r="BL37" s="98">
        <v>53000</v>
      </c>
      <c r="BM37" s="98">
        <v>7890</v>
      </c>
      <c r="BN37" s="98">
        <v>840</v>
      </c>
      <c r="BO37" s="99">
        <v>344</v>
      </c>
      <c r="BP37" s="98">
        <v>35</v>
      </c>
      <c r="BQ37" s="99">
        <v>267</v>
      </c>
      <c r="BR37" s="98">
        <v>28</v>
      </c>
      <c r="BT37" s="95">
        <f t="shared" si="0"/>
        <v>0.33669609079445145</v>
      </c>
      <c r="BU37" s="96">
        <f t="shared" si="1"/>
        <v>3.1898734177215187</v>
      </c>
      <c r="BV37" s="96">
        <f t="shared" si="2"/>
        <v>62.737642585551328</v>
      </c>
      <c r="BW37" s="96">
        <f t="shared" si="3"/>
        <v>1.2883895131086143</v>
      </c>
      <c r="BX37" s="99">
        <f t="shared" si="26"/>
        <v>32.819511352580676</v>
      </c>
      <c r="BY37" s="96">
        <f t="shared" si="4"/>
        <v>3.1898734177215187</v>
      </c>
      <c r="BZ37" s="97">
        <f t="shared" si="5"/>
        <v>8.8362144535222126E-4</v>
      </c>
      <c r="CA37" s="95">
        <f t="shared" si="6"/>
        <v>0.13561100884544852</v>
      </c>
      <c r="CB37" s="99">
        <f t="shared" si="20"/>
        <v>436.95554403808239</v>
      </c>
      <c r="CC37" s="99">
        <f t="shared" si="20"/>
        <v>45.823053307364447</v>
      </c>
      <c r="CD37" s="100">
        <f t="shared" si="21"/>
        <v>766.35592122629635</v>
      </c>
      <c r="CE37" s="100">
        <f t="shared" si="22"/>
        <v>807.56912395898837</v>
      </c>
      <c r="CF37" s="100">
        <f t="shared" si="23"/>
        <v>42.981630676191578</v>
      </c>
      <c r="CG37" s="96">
        <f t="shared" si="24"/>
        <v>0.67179235363690637</v>
      </c>
      <c r="CH37" s="96">
        <f t="shared" si="25"/>
        <v>0.50114443757227201</v>
      </c>
      <c r="CJ37" s="95">
        <f t="shared" si="27"/>
        <v>0.25738396624472576</v>
      </c>
      <c r="CK37" s="93">
        <f t="shared" si="7"/>
        <v>41.176470588235297</v>
      </c>
      <c r="CL37" s="93">
        <f t="shared" si="8"/>
        <v>6.1157894736842104</v>
      </c>
      <c r="CM37" s="93">
        <f t="shared" si="9"/>
        <v>16.916488222698071</v>
      </c>
      <c r="CN37" s="93">
        <f t="shared" si="10"/>
        <v>120.91503267973856</v>
      </c>
      <c r="CO37" s="93">
        <f t="shared" si="11"/>
        <v>31.551724137931036</v>
      </c>
      <c r="CP37" s="93">
        <f t="shared" si="12"/>
        <v>447.68856447688569</v>
      </c>
      <c r="CQ37" s="93">
        <f t="shared" si="13"/>
        <v>788.77005347593581</v>
      </c>
      <c r="CR37" s="93">
        <f t="shared" si="14"/>
        <v>1303.1496062992126</v>
      </c>
      <c r="CS37" s="93">
        <f t="shared" si="15"/>
        <v>2137.809187279152</v>
      </c>
      <c r="CT37" s="93">
        <f t="shared" si="16"/>
        <v>3009.0634441087614</v>
      </c>
      <c r="CU37" s="93">
        <f t="shared" si="17"/>
        <v>4070.588235294118</v>
      </c>
      <c r="CV37" s="93">
        <f t="shared" si="18"/>
        <v>4664.7058823529405</v>
      </c>
      <c r="CW37" s="93">
        <f t="shared" si="19"/>
        <v>5944.8818897637793</v>
      </c>
    </row>
    <row r="38" spans="1:101" s="98" customFormat="1">
      <c r="A38" s="3" t="s">
        <v>279</v>
      </c>
      <c r="B38" s="3" t="s">
        <v>268</v>
      </c>
      <c r="C38" s="3"/>
      <c r="D38" s="93">
        <v>7.05</v>
      </c>
      <c r="E38" s="94">
        <v>0.18931000000000001</v>
      </c>
      <c r="F38" s="94">
        <v>8.9999999999999998E-4</v>
      </c>
      <c r="G38" s="95">
        <v>13.845000000000001</v>
      </c>
      <c r="H38" s="96">
        <v>0.34</v>
      </c>
      <c r="I38" s="97">
        <v>0.53169999999999995</v>
      </c>
      <c r="J38" s="95">
        <v>1.2E-2</v>
      </c>
      <c r="K38" s="96">
        <v>0.80234000000000005</v>
      </c>
      <c r="M38" s="99">
        <v>2748.4</v>
      </c>
      <c r="N38" s="98">
        <v>49</v>
      </c>
      <c r="O38" s="99">
        <v>2736.6</v>
      </c>
      <c r="P38" s="98">
        <v>3.1</v>
      </c>
      <c r="Q38" s="93">
        <v>-0.43</v>
      </c>
      <c r="R38" s="97">
        <v>3.6000000000000002E-4</v>
      </c>
      <c r="T38" s="98">
        <v>260</v>
      </c>
      <c r="U38" s="98">
        <v>120</v>
      </c>
      <c r="V38" s="98">
        <v>0.1</v>
      </c>
      <c r="W38" s="98">
        <v>1.3</v>
      </c>
      <c r="X38" s="98">
        <v>0.22</v>
      </c>
      <c r="Y38" s="98">
        <v>0.16</v>
      </c>
      <c r="Z38" s="98">
        <v>1.83</v>
      </c>
      <c r="AA38" s="98">
        <v>0.57999999999999996</v>
      </c>
      <c r="AB38" s="98">
        <v>0.8</v>
      </c>
      <c r="AC38" s="98">
        <v>0.31</v>
      </c>
      <c r="AD38" s="98">
        <v>2840</v>
      </c>
      <c r="AE38" s="98">
        <v>180</v>
      </c>
      <c r="AF38" s="95">
        <v>2.5999999999999999E-2</v>
      </c>
      <c r="AG38" s="97">
        <v>2.3E-2</v>
      </c>
      <c r="AH38" s="96">
        <v>17</v>
      </c>
      <c r="AI38" s="96">
        <v>2.2000000000000002</v>
      </c>
      <c r="AJ38" s="95">
        <v>0.46200000000000002</v>
      </c>
      <c r="AK38" s="95">
        <v>7.0000000000000007E-2</v>
      </c>
      <c r="AL38" s="96">
        <v>8</v>
      </c>
      <c r="AM38" s="96">
        <v>1.6</v>
      </c>
      <c r="AN38" s="96">
        <v>14.1</v>
      </c>
      <c r="AO38" s="96">
        <v>1.9</v>
      </c>
      <c r="AP38" s="96">
        <v>1.71</v>
      </c>
      <c r="AQ38" s="96">
        <v>0.31</v>
      </c>
      <c r="AR38" s="96">
        <v>75</v>
      </c>
      <c r="AS38" s="93">
        <v>8.6</v>
      </c>
      <c r="AT38" s="96">
        <v>23.5</v>
      </c>
      <c r="AU38" s="96">
        <v>1.5</v>
      </c>
      <c r="AV38" s="99">
        <v>276</v>
      </c>
      <c r="AW38" s="98">
        <v>19</v>
      </c>
      <c r="AX38" s="98">
        <v>98.3</v>
      </c>
      <c r="AY38" s="98">
        <v>4.7</v>
      </c>
      <c r="AZ38" s="98">
        <v>409</v>
      </c>
      <c r="BA38" s="98">
        <v>25</v>
      </c>
      <c r="BB38" s="98">
        <v>77.900000000000006</v>
      </c>
      <c r="BC38" s="98">
        <v>4.2</v>
      </c>
      <c r="BD38" s="98">
        <v>664</v>
      </c>
      <c r="BE38" s="98">
        <v>39</v>
      </c>
      <c r="BF38" s="98">
        <v>114.8</v>
      </c>
      <c r="BG38" s="98">
        <v>8</v>
      </c>
      <c r="BI38" s="93">
        <v>9.4</v>
      </c>
      <c r="BJ38" s="98">
        <v>2.5</v>
      </c>
      <c r="BK38" s="98">
        <v>521000</v>
      </c>
      <c r="BL38" s="98">
        <v>46000</v>
      </c>
      <c r="BM38" s="98">
        <v>7640</v>
      </c>
      <c r="BN38" s="98">
        <v>490</v>
      </c>
      <c r="BO38" s="99">
        <v>219</v>
      </c>
      <c r="BP38" s="98">
        <v>11</v>
      </c>
      <c r="BQ38" s="99">
        <v>190.5</v>
      </c>
      <c r="BR38" s="98">
        <v>8.9</v>
      </c>
      <c r="BT38" s="95">
        <f t="shared" si="0"/>
        <v>0.2868975903614458</v>
      </c>
      <c r="BU38" s="96">
        <f t="shared" si="1"/>
        <v>2.125</v>
      </c>
      <c r="BV38" s="96">
        <f t="shared" si="2"/>
        <v>68.193717277486911</v>
      </c>
      <c r="BW38" s="96">
        <f t="shared" si="3"/>
        <v>1.1496062992125984</v>
      </c>
      <c r="BX38" s="99">
        <f t="shared" si="26"/>
        <v>38.029955139917725</v>
      </c>
      <c r="BY38" s="96">
        <f t="shared" si="4"/>
        <v>2.125</v>
      </c>
      <c r="BZ38" s="97">
        <f t="shared" si="5"/>
        <v>7.4823943661971829E-4</v>
      </c>
      <c r="CA38" s="95">
        <f t="shared" si="6"/>
        <v>0.16076057738238173</v>
      </c>
      <c r="CB38" s="99">
        <f t="shared" si="20"/>
        <v>311.76041625189026</v>
      </c>
      <c r="CC38" s="99">
        <f t="shared" si="20"/>
        <v>14.565184801269414</v>
      </c>
      <c r="CD38" s="100">
        <f t="shared" si="21"/>
        <v>767.40263182661749</v>
      </c>
      <c r="CE38" s="100">
        <f t="shared" si="22"/>
        <v>808.70052271995098</v>
      </c>
      <c r="CF38" s="100">
        <f t="shared" si="23"/>
        <v>30.82517506477582</v>
      </c>
      <c r="CG38" s="96">
        <f t="shared" si="24"/>
        <v>0.27292828795066981</v>
      </c>
      <c r="CH38" s="96">
        <f t="shared" si="25"/>
        <v>0.35793471393040138</v>
      </c>
      <c r="CJ38" s="95">
        <f t="shared" si="27"/>
        <v>0.10970464135021098</v>
      </c>
      <c r="CK38" s="93">
        <f t="shared" si="7"/>
        <v>27.777777777777779</v>
      </c>
      <c r="CL38" s="93">
        <f t="shared" si="8"/>
        <v>4.8631578947368421</v>
      </c>
      <c r="CM38" s="93">
        <f t="shared" si="9"/>
        <v>17.130620985010705</v>
      </c>
      <c r="CN38" s="93">
        <f t="shared" si="10"/>
        <v>92.156862745098039</v>
      </c>
      <c r="CO38" s="93">
        <f t="shared" si="11"/>
        <v>29.482758620689655</v>
      </c>
      <c r="CP38" s="93">
        <f t="shared" si="12"/>
        <v>364.96350364963507</v>
      </c>
      <c r="CQ38" s="93">
        <f t="shared" si="13"/>
        <v>628.34224598930473</v>
      </c>
      <c r="CR38" s="93">
        <f t="shared" si="14"/>
        <v>1086.6141732283465</v>
      </c>
      <c r="CS38" s="93">
        <f t="shared" si="15"/>
        <v>1736.7491166077739</v>
      </c>
      <c r="CT38" s="93">
        <f t="shared" si="16"/>
        <v>2471.2990936555889</v>
      </c>
      <c r="CU38" s="93">
        <f t="shared" si="17"/>
        <v>3054.9019607843143</v>
      </c>
      <c r="CV38" s="93">
        <f t="shared" si="18"/>
        <v>3905.8823529411761</v>
      </c>
      <c r="CW38" s="93">
        <f t="shared" si="19"/>
        <v>4519.6850393700788</v>
      </c>
    </row>
    <row r="39" spans="1:101" s="98" customFormat="1">
      <c r="A39" s="3" t="s">
        <v>280</v>
      </c>
      <c r="B39" s="3" t="s">
        <v>268</v>
      </c>
      <c r="C39" s="3"/>
      <c r="D39" s="93">
        <v>7.0259999999999998</v>
      </c>
      <c r="E39" s="94">
        <v>0.1898</v>
      </c>
      <c r="F39" s="94">
        <v>8.9999999999999998E-4</v>
      </c>
      <c r="G39" s="95">
        <v>13.87</v>
      </c>
      <c r="H39" s="96">
        <v>0.35</v>
      </c>
      <c r="I39" s="97">
        <v>0.53120000000000001</v>
      </c>
      <c r="J39" s="95">
        <v>1.2E-2</v>
      </c>
      <c r="K39" s="96">
        <v>0.84608000000000005</v>
      </c>
      <c r="M39" s="99">
        <v>2747</v>
      </c>
      <c r="N39" s="98">
        <v>49</v>
      </c>
      <c r="O39" s="99">
        <v>2740</v>
      </c>
      <c r="P39" s="98">
        <v>3.9</v>
      </c>
      <c r="Q39" s="93">
        <v>-0.18</v>
      </c>
      <c r="R39" s="97">
        <v>8.1999999999999998E-4</v>
      </c>
      <c r="T39" s="98">
        <v>163</v>
      </c>
      <c r="U39" s="98">
        <v>81</v>
      </c>
      <c r="V39" s="98" t="s">
        <v>250</v>
      </c>
      <c r="W39" s="98" t="s">
        <v>250</v>
      </c>
      <c r="X39" s="98" t="s">
        <v>250</v>
      </c>
      <c r="Y39" s="98" t="s">
        <v>250</v>
      </c>
      <c r="Z39" s="98">
        <v>1.67</v>
      </c>
      <c r="AA39" s="98">
        <v>0.66</v>
      </c>
      <c r="AB39" s="98">
        <v>0.68</v>
      </c>
      <c r="AC39" s="98">
        <v>0.43</v>
      </c>
      <c r="AD39" s="98">
        <v>938</v>
      </c>
      <c r="AE39" s="98">
        <v>86</v>
      </c>
      <c r="AF39" s="95" t="s">
        <v>250</v>
      </c>
      <c r="AG39" s="97" t="s">
        <v>250</v>
      </c>
      <c r="AH39" s="96">
        <v>19.600000000000001</v>
      </c>
      <c r="AI39" s="96">
        <v>2.4</v>
      </c>
      <c r="AJ39" s="95">
        <v>0.104</v>
      </c>
      <c r="AK39" s="95">
        <v>6.0999999999999999E-2</v>
      </c>
      <c r="AL39" s="96">
        <v>1.53</v>
      </c>
      <c r="AM39" s="96">
        <v>0.5</v>
      </c>
      <c r="AN39" s="96">
        <v>3.62</v>
      </c>
      <c r="AO39" s="96">
        <v>0.99</v>
      </c>
      <c r="AP39" s="96">
        <v>0.51</v>
      </c>
      <c r="AQ39" s="96">
        <v>0.17</v>
      </c>
      <c r="AR39" s="96">
        <v>16.2</v>
      </c>
      <c r="AS39" s="93">
        <v>2.2000000000000002</v>
      </c>
      <c r="AT39" s="96">
        <v>5.93</v>
      </c>
      <c r="AU39" s="96">
        <v>0.79</v>
      </c>
      <c r="AV39" s="99">
        <v>78</v>
      </c>
      <c r="AW39" s="98">
        <v>10</v>
      </c>
      <c r="AX39" s="98">
        <v>29.9</v>
      </c>
      <c r="AY39" s="98">
        <v>3</v>
      </c>
      <c r="AZ39" s="98">
        <v>141</v>
      </c>
      <c r="BA39" s="98">
        <v>14</v>
      </c>
      <c r="BB39" s="98">
        <v>26.8</v>
      </c>
      <c r="BC39" s="98">
        <v>2</v>
      </c>
      <c r="BD39" s="98">
        <v>252</v>
      </c>
      <c r="BE39" s="98">
        <v>32</v>
      </c>
      <c r="BF39" s="98">
        <v>47.1</v>
      </c>
      <c r="BG39" s="98">
        <v>5.8</v>
      </c>
      <c r="BI39" s="93">
        <v>8.8000000000000007</v>
      </c>
      <c r="BJ39" s="98">
        <v>1.7</v>
      </c>
      <c r="BK39" s="98">
        <v>527000</v>
      </c>
      <c r="BL39" s="98">
        <v>48000</v>
      </c>
      <c r="BM39" s="98">
        <v>8850</v>
      </c>
      <c r="BN39" s="98">
        <v>670</v>
      </c>
      <c r="BO39" s="99">
        <v>107</v>
      </c>
      <c r="BP39" s="98">
        <v>9.9</v>
      </c>
      <c r="BQ39" s="99">
        <v>135</v>
      </c>
      <c r="BR39" s="98">
        <v>12</v>
      </c>
      <c r="BT39" s="95">
        <f t="shared" si="0"/>
        <v>0.5357142857142857</v>
      </c>
      <c r="BU39" s="96">
        <f t="shared" si="1"/>
        <v>12.81045751633987</v>
      </c>
      <c r="BV39" s="96">
        <f t="shared" si="2"/>
        <v>59.548022598870055</v>
      </c>
      <c r="BW39" s="96">
        <f t="shared" si="3"/>
        <v>0.79259259259259263</v>
      </c>
      <c r="BX39" s="99"/>
      <c r="BY39" s="96">
        <f t="shared" si="4"/>
        <v>12.81045751633987</v>
      </c>
      <c r="BZ39" s="97">
        <f t="shared" si="5"/>
        <v>1.3657204175202419E-2</v>
      </c>
      <c r="CA39" s="95">
        <f t="shared" si="6"/>
        <v>0.20360199002095183</v>
      </c>
      <c r="CB39" s="99">
        <f t="shared" si="20"/>
        <v>220.93257844622144</v>
      </c>
      <c r="CC39" s="99">
        <f t="shared" si="20"/>
        <v>19.638451417441907</v>
      </c>
      <c r="CD39" s="100">
        <f t="shared" si="21"/>
        <v>760.98093318238841</v>
      </c>
      <c r="CE39" s="100">
        <f t="shared" si="22"/>
        <v>801.7606744527269</v>
      </c>
      <c r="CF39" s="100">
        <f t="shared" si="23"/>
        <v>23.572618591692905</v>
      </c>
      <c r="CG39" s="96">
        <f t="shared" si="24"/>
        <v>0.87506057033118956</v>
      </c>
      <c r="CH39" s="96">
        <f t="shared" si="25"/>
        <v>0.35767923632767529</v>
      </c>
      <c r="CJ39" s="95"/>
      <c r="CK39" s="93">
        <f t="shared" si="7"/>
        <v>32.026143790849673</v>
      </c>
      <c r="CL39" s="93">
        <f t="shared" si="8"/>
        <v>1.094736842105263</v>
      </c>
      <c r="CM39" s="93">
        <f t="shared" si="9"/>
        <v>3.2762312633832975</v>
      </c>
      <c r="CN39" s="93">
        <f t="shared" si="10"/>
        <v>23.66013071895425</v>
      </c>
      <c r="CO39" s="93">
        <f t="shared" si="11"/>
        <v>8.7931034482758612</v>
      </c>
      <c r="CP39" s="93">
        <f t="shared" si="12"/>
        <v>78.832116788321173</v>
      </c>
      <c r="CQ39" s="93">
        <f t="shared" si="13"/>
        <v>158.5561497326203</v>
      </c>
      <c r="CR39" s="93">
        <f t="shared" si="14"/>
        <v>307.08661417322833</v>
      </c>
      <c r="CS39" s="93">
        <f t="shared" si="15"/>
        <v>528.26855123674909</v>
      </c>
      <c r="CT39" s="93">
        <f t="shared" si="16"/>
        <v>851.96374622356495</v>
      </c>
      <c r="CU39" s="93">
        <f t="shared" si="17"/>
        <v>1050.9803921568628</v>
      </c>
      <c r="CV39" s="93">
        <f t="shared" si="18"/>
        <v>1482.3529411764705</v>
      </c>
      <c r="CW39" s="93">
        <f t="shared" si="19"/>
        <v>1854.3307086614175</v>
      </c>
    </row>
    <row r="40" spans="1:101" s="107" customFormat="1">
      <c r="A40" s="101" t="s">
        <v>281</v>
      </c>
      <c r="B40" s="101"/>
      <c r="C40" s="101"/>
      <c r="D40" s="102"/>
      <c r="E40" s="103"/>
      <c r="F40" s="103"/>
      <c r="G40" s="104"/>
      <c r="H40" s="105"/>
      <c r="I40" s="106"/>
      <c r="J40" s="104"/>
      <c r="K40" s="105"/>
      <c r="M40" s="108"/>
      <c r="O40" s="108"/>
      <c r="R40" s="106"/>
      <c r="AF40" s="104"/>
      <c r="AG40" s="106"/>
      <c r="AH40" s="105"/>
      <c r="AI40" s="105"/>
      <c r="AJ40" s="104"/>
      <c r="AK40" s="104"/>
      <c r="AL40" s="105"/>
      <c r="AM40" s="105"/>
      <c r="AN40" s="105"/>
      <c r="AO40" s="105"/>
      <c r="AP40" s="105"/>
      <c r="AQ40" s="105"/>
      <c r="AR40" s="105"/>
      <c r="AS40" s="102"/>
      <c r="AT40" s="105"/>
      <c r="AU40" s="105"/>
      <c r="AV40" s="108"/>
      <c r="BI40" s="102"/>
      <c r="BO40" s="108"/>
      <c r="BQ40" s="108"/>
      <c r="BT40" s="95"/>
      <c r="BU40" s="96"/>
      <c r="BV40" s="96"/>
      <c r="BW40" s="96"/>
      <c r="BX40" s="108">
        <f>AVERAGE(BX5:BX39)</f>
        <v>101.6383935437788</v>
      </c>
      <c r="BY40" s="96"/>
      <c r="BZ40" s="97"/>
      <c r="CA40" s="104">
        <f>AVERAGE(CA5:CA39)</f>
        <v>0.14885206704110857</v>
      </c>
      <c r="CB40" s="108"/>
      <c r="CC40" s="108"/>
      <c r="CD40" s="109">
        <f>AVERAGE(CD5:CD39)</f>
        <v>772.97381163292141</v>
      </c>
      <c r="CE40" s="109">
        <f>AVERAGE(CE5:CE39)</f>
        <v>814.75550773664872</v>
      </c>
      <c r="CF40" s="100"/>
      <c r="CG40" s="105">
        <f>AVERAGE(CG5:CG39)</f>
        <v>0.7690878512167133</v>
      </c>
      <c r="CH40" s="105">
        <f>AVERAGE(CH5:CH39)</f>
        <v>0.45261087089191676</v>
      </c>
      <c r="CJ40" s="95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</row>
    <row r="41" spans="1:101" s="107" customFormat="1">
      <c r="A41" s="101" t="s">
        <v>282</v>
      </c>
      <c r="B41" s="101"/>
      <c r="C41" s="101"/>
      <c r="D41" s="102"/>
      <c r="E41" s="103"/>
      <c r="F41" s="103"/>
      <c r="G41" s="104"/>
      <c r="H41" s="105"/>
      <c r="I41" s="106"/>
      <c r="J41" s="104"/>
      <c r="K41" s="105"/>
      <c r="M41" s="108"/>
      <c r="O41" s="108"/>
      <c r="R41" s="106"/>
      <c r="AF41" s="104"/>
      <c r="AG41" s="106"/>
      <c r="AH41" s="105"/>
      <c r="AI41" s="105"/>
      <c r="AJ41" s="104"/>
      <c r="AK41" s="104"/>
      <c r="AL41" s="105"/>
      <c r="AM41" s="105"/>
      <c r="AN41" s="105"/>
      <c r="AO41" s="105"/>
      <c r="AP41" s="105"/>
      <c r="AQ41" s="105"/>
      <c r="AR41" s="105"/>
      <c r="AS41" s="102"/>
      <c r="AT41" s="105"/>
      <c r="AU41" s="105"/>
      <c r="AV41" s="108"/>
      <c r="BI41" s="102"/>
      <c r="BO41" s="108"/>
      <c r="BQ41" s="108"/>
      <c r="BT41" s="95"/>
      <c r="BU41" s="96"/>
      <c r="BV41" s="96"/>
      <c r="BW41" s="96"/>
      <c r="BX41" s="108">
        <f>MEDIAN(BX5:BX39)</f>
        <v>44.94902020327541</v>
      </c>
      <c r="BY41" s="96"/>
      <c r="BZ41" s="97"/>
      <c r="CA41" s="104">
        <f>MEDIAN(CA5:CA39)</f>
        <v>0.14212879813753185</v>
      </c>
      <c r="CB41" s="108"/>
      <c r="CC41" s="108"/>
      <c r="CD41" s="109">
        <f>MEDIAN(CD5:CD39)</f>
        <v>770.48945118121526</v>
      </c>
      <c r="CE41" s="109">
        <f>MEDIAN(CE5:CE39)</f>
        <v>812.03761921207808</v>
      </c>
      <c r="CF41" s="100"/>
      <c r="CG41" s="105">
        <f>MEDIAN(CG5:CG39)</f>
        <v>0.76303314809442635</v>
      </c>
      <c r="CH41" s="105">
        <f>MEDIAN(CH5:CH39)</f>
        <v>0.43827812686382528</v>
      </c>
      <c r="CJ41" s="95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</row>
    <row r="42" spans="1:101" s="107" customFormat="1">
      <c r="A42" s="101" t="s">
        <v>204</v>
      </c>
      <c r="B42" s="101"/>
      <c r="C42" s="101"/>
      <c r="D42" s="102"/>
      <c r="E42" s="103"/>
      <c r="F42" s="103"/>
      <c r="G42" s="104"/>
      <c r="H42" s="105"/>
      <c r="I42" s="106"/>
      <c r="J42" s="104"/>
      <c r="K42" s="105"/>
      <c r="M42" s="108"/>
      <c r="O42" s="108"/>
      <c r="R42" s="106"/>
      <c r="AF42" s="104"/>
      <c r="AG42" s="106"/>
      <c r="AH42" s="105"/>
      <c r="AI42" s="105"/>
      <c r="AJ42" s="104"/>
      <c r="AK42" s="104"/>
      <c r="AL42" s="105"/>
      <c r="AM42" s="105"/>
      <c r="AN42" s="105"/>
      <c r="AO42" s="105"/>
      <c r="AP42" s="105"/>
      <c r="AQ42" s="105"/>
      <c r="AR42" s="105"/>
      <c r="AS42" s="102"/>
      <c r="AT42" s="105"/>
      <c r="AU42" s="105"/>
      <c r="AV42" s="108"/>
      <c r="BI42" s="102"/>
      <c r="BO42" s="108"/>
      <c r="BQ42" s="108"/>
      <c r="BT42" s="95"/>
      <c r="BU42" s="96"/>
      <c r="BV42" s="96"/>
      <c r="BW42" s="96"/>
      <c r="BX42" s="108">
        <f>_xlfn.STDEV.S(BX5:BX39)</f>
        <v>122.96131065765823</v>
      </c>
      <c r="BY42" s="96"/>
      <c r="BZ42" s="97"/>
      <c r="CA42" s="104">
        <f>_xlfn.STDEV.S(CA5:CA39)</f>
        <v>3.4003970401321915E-2</v>
      </c>
      <c r="CB42" s="108"/>
      <c r="CC42" s="108"/>
      <c r="CD42" s="109">
        <f>_xlfn.STDEV.S(CD5:CD39)</f>
        <v>28.057014155610087</v>
      </c>
      <c r="CE42" s="109">
        <f>_xlfn.STDEV.S(CE5:CE39)</f>
        <v>30.320697256050366</v>
      </c>
      <c r="CF42" s="100"/>
      <c r="CG42" s="105">
        <f>_xlfn.STDEV.S(CG5:CG39)</f>
        <v>0.35281879920769249</v>
      </c>
      <c r="CH42" s="105">
        <f>_xlfn.STDEV.S(CH5:CH39)</f>
        <v>8.8866720095877455E-2</v>
      </c>
      <c r="CJ42" s="95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</row>
    <row r="43" spans="1:101" s="107" customFormat="1">
      <c r="A43" s="101" t="s">
        <v>283</v>
      </c>
      <c r="B43" s="101"/>
      <c r="C43" s="101"/>
      <c r="D43" s="102"/>
      <c r="E43" s="103"/>
      <c r="F43" s="103"/>
      <c r="G43" s="104"/>
      <c r="H43" s="105"/>
      <c r="I43" s="106"/>
      <c r="J43" s="104"/>
      <c r="K43" s="105"/>
      <c r="M43" s="108"/>
      <c r="O43" s="108"/>
      <c r="R43" s="106"/>
      <c r="AF43" s="104"/>
      <c r="AG43" s="106"/>
      <c r="AH43" s="105"/>
      <c r="AI43" s="105"/>
      <c r="AJ43" s="104"/>
      <c r="AK43" s="104"/>
      <c r="AL43" s="105"/>
      <c r="AM43" s="105"/>
      <c r="AN43" s="105"/>
      <c r="AO43" s="105"/>
      <c r="AP43" s="105"/>
      <c r="AQ43" s="105"/>
      <c r="AR43" s="105"/>
      <c r="AS43" s="102"/>
      <c r="AT43" s="105"/>
      <c r="AU43" s="105"/>
      <c r="AV43" s="108"/>
      <c r="BI43" s="102"/>
      <c r="BO43" s="108"/>
      <c r="BQ43" s="108"/>
      <c r="BT43" s="95"/>
      <c r="BU43" s="96"/>
      <c r="BV43" s="96"/>
      <c r="BW43" s="96"/>
      <c r="BX43" s="105">
        <f>BX42/BX40</f>
        <v>1.2097919533202282</v>
      </c>
      <c r="BY43" s="96"/>
      <c r="BZ43" s="97"/>
      <c r="CA43" s="104">
        <f>CA42/CA40</f>
        <v>0.22844137187514513</v>
      </c>
      <c r="CB43" s="108"/>
      <c r="CC43" s="108"/>
      <c r="CD43" s="110">
        <f>CD42/CD40</f>
        <v>3.629749641367426E-2</v>
      </c>
      <c r="CE43" s="110">
        <f>CE42/CE40</f>
        <v>3.7214473505407519E-2</v>
      </c>
      <c r="CF43" s="100"/>
      <c r="CG43" s="105">
        <f>CG42/CG40</f>
        <v>0.45874967163962566</v>
      </c>
      <c r="CH43" s="105">
        <f>CH42/CH40</f>
        <v>0.19634243411068839</v>
      </c>
      <c r="CJ43" s="95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</row>
    <row r="44" spans="1:101" s="107" customFormat="1">
      <c r="A44" s="101"/>
      <c r="B44" s="101"/>
      <c r="C44" s="101"/>
      <c r="D44" s="102"/>
      <c r="E44" s="103"/>
      <c r="F44" s="103"/>
      <c r="G44" s="104"/>
      <c r="H44" s="105"/>
      <c r="I44" s="106"/>
      <c r="J44" s="104"/>
      <c r="K44" s="105"/>
      <c r="M44" s="108"/>
      <c r="O44" s="108"/>
      <c r="R44" s="106"/>
      <c r="AF44" s="104"/>
      <c r="AG44" s="106"/>
      <c r="AH44" s="105"/>
      <c r="AI44" s="105"/>
      <c r="AJ44" s="104"/>
      <c r="AK44" s="104"/>
      <c r="AL44" s="105"/>
      <c r="AM44" s="105"/>
      <c r="AN44" s="105"/>
      <c r="AO44" s="105"/>
      <c r="AP44" s="105"/>
      <c r="AQ44" s="105"/>
      <c r="AR44" s="105"/>
      <c r="AS44" s="102"/>
      <c r="AT44" s="105"/>
      <c r="AU44" s="105"/>
      <c r="AV44" s="108"/>
      <c r="BI44" s="102"/>
      <c r="BO44" s="108"/>
      <c r="BQ44" s="108"/>
      <c r="BT44" s="95"/>
      <c r="BU44" s="96"/>
      <c r="BV44" s="96"/>
      <c r="BW44" s="96"/>
      <c r="BX44" s="99"/>
      <c r="BY44" s="96"/>
      <c r="BZ44" s="97"/>
      <c r="CA44" s="95"/>
      <c r="CB44" s="108"/>
      <c r="CC44" s="108"/>
      <c r="CD44" s="110"/>
      <c r="CE44" s="110"/>
      <c r="CF44" s="100"/>
      <c r="CG44" s="105"/>
      <c r="CH44" s="96"/>
      <c r="CJ44" s="95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</row>
    <row r="45" spans="1:101" s="107" customFormat="1">
      <c r="A45" s="101"/>
      <c r="B45" s="101"/>
      <c r="C45" s="101"/>
      <c r="D45" s="102"/>
      <c r="E45" s="103"/>
      <c r="F45" s="103"/>
      <c r="G45" s="104"/>
      <c r="H45" s="105"/>
      <c r="I45" s="106"/>
      <c r="J45" s="104"/>
      <c r="K45" s="105"/>
      <c r="M45" s="108"/>
      <c r="O45" s="108"/>
      <c r="R45" s="106"/>
      <c r="AF45" s="104"/>
      <c r="AG45" s="106"/>
      <c r="AH45" s="105"/>
      <c r="AI45" s="105"/>
      <c r="AJ45" s="104"/>
      <c r="AK45" s="104"/>
      <c r="AL45" s="105"/>
      <c r="AM45" s="105"/>
      <c r="AN45" s="105"/>
      <c r="AO45" s="105"/>
      <c r="AP45" s="105"/>
      <c r="AQ45" s="105"/>
      <c r="AR45" s="105"/>
      <c r="AS45" s="102"/>
      <c r="AT45" s="105"/>
      <c r="AU45" s="105"/>
      <c r="AV45" s="108"/>
      <c r="BI45" s="102"/>
      <c r="BO45" s="108"/>
      <c r="BQ45" s="108"/>
      <c r="BT45" s="95"/>
      <c r="BU45" s="96"/>
      <c r="BV45" s="96"/>
      <c r="BW45" s="96"/>
      <c r="BX45" s="99"/>
      <c r="BY45" s="96"/>
      <c r="BZ45" s="97"/>
      <c r="CA45" s="95"/>
      <c r="CB45" s="108"/>
      <c r="CC45" s="108"/>
      <c r="CD45" s="110"/>
      <c r="CE45" s="110"/>
      <c r="CF45" s="100"/>
      <c r="CG45" s="105"/>
      <c r="CH45" s="96"/>
      <c r="CJ45" s="95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</row>
    <row r="46" spans="1:101" s="98" customFormat="1">
      <c r="A46" s="3" t="s">
        <v>284</v>
      </c>
      <c r="B46" s="92" t="s">
        <v>244</v>
      </c>
      <c r="C46" s="3" t="s">
        <v>285</v>
      </c>
      <c r="D46" s="93">
        <v>11.016999999999999</v>
      </c>
      <c r="E46" s="94">
        <v>0.18987999999999999</v>
      </c>
      <c r="F46" s="94">
        <v>7.3999999999999999E-4</v>
      </c>
      <c r="G46" s="95">
        <v>13.692</v>
      </c>
      <c r="H46" s="96">
        <v>0.4</v>
      </c>
      <c r="I46" s="97">
        <v>0.52159999999999995</v>
      </c>
      <c r="J46" s="97">
        <v>1.4E-2</v>
      </c>
      <c r="K46" s="96">
        <v>0.46439999999999998</v>
      </c>
      <c r="M46" s="99">
        <v>2706.1</v>
      </c>
      <c r="N46" s="98">
        <v>59</v>
      </c>
      <c r="O46" s="99">
        <v>2740.9</v>
      </c>
      <c r="P46" s="98">
        <v>3.6</v>
      </c>
      <c r="Q46" s="93">
        <v>1.26</v>
      </c>
      <c r="R46" s="97">
        <v>5.1000000000000004E-3</v>
      </c>
      <c r="T46" s="98">
        <v>230</v>
      </c>
      <c r="U46" s="98">
        <v>120</v>
      </c>
      <c r="V46" s="98" t="s">
        <v>250</v>
      </c>
      <c r="W46" s="98" t="s">
        <v>250</v>
      </c>
      <c r="X46" s="98">
        <v>0.39</v>
      </c>
      <c r="Y46" s="98">
        <v>0.22</v>
      </c>
      <c r="Z46" s="98">
        <v>3.4</v>
      </c>
      <c r="AA46" s="98">
        <v>1.1000000000000001</v>
      </c>
      <c r="AB46" s="98">
        <v>1.19</v>
      </c>
      <c r="AC46" s="98">
        <v>0.4</v>
      </c>
      <c r="AD46" s="98">
        <v>2140</v>
      </c>
      <c r="AE46" s="98">
        <v>170</v>
      </c>
      <c r="AF46" s="95">
        <v>8.2000000000000007E-3</v>
      </c>
      <c r="AG46" s="97">
        <v>8.3000000000000001E-3</v>
      </c>
      <c r="AH46" s="96">
        <v>5.99</v>
      </c>
      <c r="AI46" s="96">
        <v>0.79</v>
      </c>
      <c r="AJ46" s="95">
        <v>0.22600000000000001</v>
      </c>
      <c r="AK46" s="95">
        <v>7.0999999999999994E-2</v>
      </c>
      <c r="AL46" s="96">
        <v>2.38</v>
      </c>
      <c r="AM46" s="96">
        <v>0.68</v>
      </c>
      <c r="AN46" s="96">
        <v>7.4</v>
      </c>
      <c r="AO46" s="96">
        <v>1.2</v>
      </c>
      <c r="AP46" s="96">
        <v>0.8</v>
      </c>
      <c r="AQ46" s="96">
        <v>0.22</v>
      </c>
      <c r="AR46" s="96">
        <v>48.1</v>
      </c>
      <c r="AS46" s="93">
        <v>6.5</v>
      </c>
      <c r="AT46" s="96">
        <v>16.7</v>
      </c>
      <c r="AU46" s="96">
        <v>1.4</v>
      </c>
      <c r="AV46" s="99">
        <v>206</v>
      </c>
      <c r="AW46" s="98">
        <v>14</v>
      </c>
      <c r="AX46" s="98">
        <v>71.599999999999994</v>
      </c>
      <c r="AY46" s="96">
        <v>4.5999999999999996</v>
      </c>
      <c r="AZ46" s="98">
        <v>356</v>
      </c>
      <c r="BA46" s="98">
        <v>27</v>
      </c>
      <c r="BB46" s="98">
        <v>64.7</v>
      </c>
      <c r="BC46" s="93">
        <v>4.7</v>
      </c>
      <c r="BD46" s="98">
        <v>563</v>
      </c>
      <c r="BE46" s="98">
        <v>36</v>
      </c>
      <c r="BF46" s="98">
        <v>110.8</v>
      </c>
      <c r="BG46" s="99">
        <v>8.8000000000000007</v>
      </c>
      <c r="BI46" s="93">
        <v>6.5</v>
      </c>
      <c r="BJ46" s="98">
        <v>2.4</v>
      </c>
      <c r="BK46" s="98">
        <v>484000</v>
      </c>
      <c r="BL46" s="98">
        <v>36000</v>
      </c>
      <c r="BM46" s="98">
        <v>8490</v>
      </c>
      <c r="BN46" s="98">
        <v>710</v>
      </c>
      <c r="BO46" s="99">
        <v>86.1</v>
      </c>
      <c r="BP46" s="98">
        <v>4.8</v>
      </c>
      <c r="BQ46" s="99">
        <v>123.2</v>
      </c>
      <c r="BR46" s="98">
        <v>6.4</v>
      </c>
      <c r="BT46" s="95">
        <f t="shared" ref="BT46:BT52" si="28">BQ46/BD46</f>
        <v>0.21882770870337478</v>
      </c>
      <c r="BU46" s="96">
        <f t="shared" ref="BU46:BU52" si="29">AH46/AL46</f>
        <v>2.516806722689076</v>
      </c>
      <c r="BV46" s="96">
        <f t="shared" ref="BV46:BV52" si="30">BK46/BM46</f>
        <v>57.008244994110719</v>
      </c>
      <c r="BW46" s="96">
        <f t="shared" ref="BW46:BW52" si="31">BO46/BQ46</f>
        <v>0.69886363636363635</v>
      </c>
      <c r="BX46" s="99">
        <f>CK46/SQRT(CJ46*CL46)</f>
        <v>34.115381337089431</v>
      </c>
      <c r="BY46" s="96">
        <f t="shared" ref="BY46:BY52" si="32">AH46/AL46</f>
        <v>2.516806722689076</v>
      </c>
      <c r="BZ46" s="97">
        <f t="shared" ref="BZ46:BZ52" si="33">(AH46/AL46)/AD46</f>
        <v>1.1760779077986336E-3</v>
      </c>
      <c r="CA46" s="95">
        <f>CO46/SQRT(CN46*CP46)</f>
        <v>0.12963588112411506</v>
      </c>
      <c r="CB46" s="99">
        <f t="shared" ref="CB46:CC52" si="34">BQ46*(EXP(0.0001551*2740)+0.0072*EXP(2740*0.0009849))</f>
        <v>201.62143455240357</v>
      </c>
      <c r="CC46" s="99">
        <f t="shared" si="34"/>
        <v>10.473840755969016</v>
      </c>
      <c r="CD46" s="100">
        <f t="shared" ref="CD46:CD81" si="35">4800/(5.711-LOG(BI46)-LOG(1)+LOG(0.75))-273.15</f>
        <v>732.47565706652176</v>
      </c>
      <c r="CE46" s="100">
        <f>4800/(5.711-LOG(BI46)-LOG(1)+LOG(0.5))-273.15</f>
        <v>770.99636752598542</v>
      </c>
      <c r="CF46" s="100">
        <f t="shared" si="23"/>
        <v>38.642664070898611</v>
      </c>
      <c r="CG46" s="96">
        <f t="shared" ref="CG46:CG52" si="36">2.28+3.99*LOG(AH46/((CB46*BI46)^(1/2)))</f>
        <v>-0.8373798425808423</v>
      </c>
      <c r="CH46" s="96">
        <f>(4*0.1^2+4*0.12^2*LOG((AH46/(CB46*BI46)^0.5)^2)+3.99*(BJ46/2)^2/(BI46^2)+3.99^2*(CC46/2)^2/(CB46^2)+4*3.99*(AI46/2)^2/(AH46^2))^(1/2)</f>
        <v>0.40758766711330996</v>
      </c>
      <c r="CJ46" s="95">
        <f>AF46/CJ$4</f>
        <v>3.4599156118143466E-2</v>
      </c>
      <c r="CK46" s="93">
        <f t="shared" ref="CK46:CK52" si="37">AH46/CK$4</f>
        <v>9.787581699346406</v>
      </c>
      <c r="CL46" s="93">
        <f t="shared" ref="CL46:CL52" si="38">AJ46/CL$4</f>
        <v>2.3789473684210525</v>
      </c>
      <c r="CM46" s="93">
        <f t="shared" ref="CM46:CM52" si="39">AL46/CM$4</f>
        <v>5.0963597430406846</v>
      </c>
      <c r="CN46" s="93">
        <f t="shared" ref="CN46:CN52" si="40">AN46/CN$4</f>
        <v>48.366013071895431</v>
      </c>
      <c r="CO46" s="93">
        <f t="shared" ref="CO46:CO52" si="41">AP46/CO$4</f>
        <v>13.793103448275863</v>
      </c>
      <c r="CP46" s="93">
        <f t="shared" ref="CP46:CP52" si="42">AR46/CP$4</f>
        <v>234.06326034063261</v>
      </c>
      <c r="CQ46" s="93">
        <f t="shared" ref="CQ46:CQ52" si="43">AT46/CQ$4</f>
        <v>446.52406417112292</v>
      </c>
      <c r="CR46" s="93">
        <f t="shared" ref="CR46:CR52" si="44">AV46/CR$4</f>
        <v>811.02362204724409</v>
      </c>
      <c r="CS46" s="93">
        <f t="shared" ref="CS46:CS52" si="45">AX46/CS$4</f>
        <v>1265.017667844523</v>
      </c>
      <c r="CT46" s="93">
        <f t="shared" ref="CT46:CT52" si="46">AZ46/CT$4</f>
        <v>2151.0574018126886</v>
      </c>
      <c r="CU46" s="93">
        <f t="shared" ref="CU46:CU52" si="47">BB46/CU$4</f>
        <v>2537.2549019607845</v>
      </c>
      <c r="CV46" s="93">
        <f t="shared" ref="CV46:CV52" si="48">BD46/CV$4</f>
        <v>3311.7647058823527</v>
      </c>
      <c r="CW46" s="93">
        <f t="shared" ref="CW46:CW52" si="49">BF46/CW$4</f>
        <v>4362.2047244094492</v>
      </c>
    </row>
    <row r="47" spans="1:101" s="98" customFormat="1">
      <c r="A47" s="3" t="s">
        <v>286</v>
      </c>
      <c r="B47" s="92" t="s">
        <v>244</v>
      </c>
      <c r="C47" s="3" t="s">
        <v>287</v>
      </c>
      <c r="D47" s="93">
        <v>11.007999999999999</v>
      </c>
      <c r="E47" s="94">
        <v>0.18862999999999999</v>
      </c>
      <c r="F47" s="94">
        <v>7.1000000000000002E-4</v>
      </c>
      <c r="G47" s="95">
        <v>14.63</v>
      </c>
      <c r="H47" s="96">
        <v>0.56999999999999995</v>
      </c>
      <c r="I47" s="97">
        <v>0.56100000000000005</v>
      </c>
      <c r="J47" s="97">
        <v>2.1000000000000001E-2</v>
      </c>
      <c r="K47" s="96">
        <v>0.99292000000000002</v>
      </c>
      <c r="M47" s="99">
        <v>2868</v>
      </c>
      <c r="N47" s="98">
        <v>87</v>
      </c>
      <c r="O47" s="99">
        <v>2730.1</v>
      </c>
      <c r="P47" s="98">
        <v>3.2</v>
      </c>
      <c r="Q47" s="93">
        <v>-5.0999999999999996</v>
      </c>
      <c r="R47" s="97">
        <v>3.2000000000000002E-3</v>
      </c>
      <c r="T47" s="98">
        <v>550</v>
      </c>
      <c r="U47" s="98">
        <v>130</v>
      </c>
      <c r="V47" s="98">
        <v>0.9</v>
      </c>
      <c r="W47" s="98">
        <v>1.5</v>
      </c>
      <c r="X47" s="98">
        <v>0.5</v>
      </c>
      <c r="Y47" s="98">
        <v>0.31</v>
      </c>
      <c r="Z47" s="98">
        <v>4.4000000000000004</v>
      </c>
      <c r="AA47" s="98">
        <v>1.1000000000000001</v>
      </c>
      <c r="AB47" s="98">
        <v>1.39</v>
      </c>
      <c r="AC47" s="98">
        <v>0.5</v>
      </c>
      <c r="AD47" s="98">
        <v>1310</v>
      </c>
      <c r="AE47" s="98">
        <v>170</v>
      </c>
      <c r="AF47" s="95">
        <v>0.48799999999999999</v>
      </c>
      <c r="AG47" s="97">
        <v>7.9000000000000001E-2</v>
      </c>
      <c r="AH47" s="96">
        <v>11.8</v>
      </c>
      <c r="AI47" s="96">
        <v>1.6</v>
      </c>
      <c r="AJ47" s="95">
        <v>0.48</v>
      </c>
      <c r="AK47" s="95">
        <v>0.11</v>
      </c>
      <c r="AL47" s="96">
        <v>3.4</v>
      </c>
      <c r="AM47" s="96">
        <v>1.1000000000000001</v>
      </c>
      <c r="AN47" s="96">
        <v>6.1</v>
      </c>
      <c r="AO47" s="96">
        <v>1.6</v>
      </c>
      <c r="AP47" s="96">
        <v>0.75</v>
      </c>
      <c r="AQ47" s="96">
        <v>0.25</v>
      </c>
      <c r="AR47" s="96">
        <v>27.2</v>
      </c>
      <c r="AS47" s="93">
        <v>5.4</v>
      </c>
      <c r="AT47" s="96">
        <v>9</v>
      </c>
      <c r="AU47" s="96">
        <v>1.1000000000000001</v>
      </c>
      <c r="AV47" s="99">
        <v>114</v>
      </c>
      <c r="AW47" s="98">
        <v>13</v>
      </c>
      <c r="AX47" s="98">
        <v>45</v>
      </c>
      <c r="AY47" s="96">
        <v>5</v>
      </c>
      <c r="AZ47" s="98">
        <v>221</v>
      </c>
      <c r="BA47" s="98">
        <v>27</v>
      </c>
      <c r="BB47" s="98">
        <v>40.299999999999997</v>
      </c>
      <c r="BC47" s="93">
        <v>4.8</v>
      </c>
      <c r="BD47" s="98">
        <v>364</v>
      </c>
      <c r="BE47" s="98">
        <v>47</v>
      </c>
      <c r="BF47" s="98">
        <v>71.099999999999994</v>
      </c>
      <c r="BG47" s="99">
        <v>9.5</v>
      </c>
      <c r="BI47" s="93">
        <v>15</v>
      </c>
      <c r="BJ47" s="98">
        <v>4.3</v>
      </c>
      <c r="BK47" s="98">
        <v>486000</v>
      </c>
      <c r="BL47" s="98">
        <v>65000</v>
      </c>
      <c r="BM47" s="98">
        <v>9800</v>
      </c>
      <c r="BN47" s="98">
        <v>1400</v>
      </c>
      <c r="BO47" s="99">
        <v>82.6</v>
      </c>
      <c r="BP47" s="98">
        <v>7.4</v>
      </c>
      <c r="BQ47" s="99">
        <v>134</v>
      </c>
      <c r="BR47" s="98">
        <v>12</v>
      </c>
      <c r="BT47" s="95">
        <f t="shared" si="28"/>
        <v>0.36813186813186816</v>
      </c>
      <c r="BU47" s="96">
        <f t="shared" si="29"/>
        <v>3.4705882352941178</v>
      </c>
      <c r="BV47" s="96">
        <f t="shared" si="30"/>
        <v>49.591836734693878</v>
      </c>
      <c r="BW47" s="96">
        <f t="shared" si="31"/>
        <v>0.61641791044776117</v>
      </c>
      <c r="BX47" s="99">
        <f>CK47/SQRT(CJ47*CL47)</f>
        <v>5.9777263667200806</v>
      </c>
      <c r="BY47" s="96">
        <f t="shared" si="32"/>
        <v>3.4705882352941178</v>
      </c>
      <c r="BZ47" s="97">
        <f t="shared" si="33"/>
        <v>2.6493039964077237E-3</v>
      </c>
      <c r="CA47" s="95">
        <f t="shared" ref="CA47:CA81" si="50">CO47/SQRT(CN47*CP47)</f>
        <v>0.17800636381233376</v>
      </c>
      <c r="CB47" s="99">
        <f t="shared" si="34"/>
        <v>219.29604082810127</v>
      </c>
      <c r="CC47" s="99">
        <f t="shared" si="34"/>
        <v>19.638451417441907</v>
      </c>
      <c r="CD47" s="100">
        <f t="shared" si="35"/>
        <v>815.29277745211232</v>
      </c>
      <c r="CE47" s="100">
        <f t="shared" ref="CE47:CE81" si="51">4800/(5.711-LOG(BI47)-LOG(1)+LOG(0.5))-273.15</f>
        <v>860.56220310707738</v>
      </c>
      <c r="CF47" s="100">
        <f t="shared" si="23"/>
        <v>35.772849036518586</v>
      </c>
      <c r="CG47" s="96">
        <f t="shared" si="36"/>
        <v>-0.45984928069646092</v>
      </c>
      <c r="CH47" s="96">
        <f t="shared" ref="CH47:CH110" si="52">(4*0.1^2+4*0.12^2*LOG((AH47/(CB47*BI47)^0.5)^2)+3.99*(BJ47/2)^2/(BI47^2)+3.99^2*(CC47/2)^2/(CB47^2)+4*3.99*(AI47/2)^2/(AH47^2))^(1/2)</f>
        <v>0.38489396358863193</v>
      </c>
      <c r="CJ47" s="95">
        <f>AF47/CJ$4</f>
        <v>2.0590717299578061</v>
      </c>
      <c r="CK47" s="93">
        <f t="shared" si="37"/>
        <v>19.281045751633989</v>
      </c>
      <c r="CL47" s="93">
        <f t="shared" si="38"/>
        <v>5.0526315789473681</v>
      </c>
      <c r="CM47" s="93">
        <f t="shared" si="39"/>
        <v>7.2805139186295493</v>
      </c>
      <c r="CN47" s="93">
        <f t="shared" si="40"/>
        <v>39.869281045751634</v>
      </c>
      <c r="CO47" s="93">
        <f t="shared" si="41"/>
        <v>12.931034482758619</v>
      </c>
      <c r="CP47" s="93">
        <f t="shared" si="42"/>
        <v>132.36009732360097</v>
      </c>
      <c r="CQ47" s="93">
        <f t="shared" si="43"/>
        <v>240.64171122994651</v>
      </c>
      <c r="CR47" s="93">
        <f t="shared" si="44"/>
        <v>448.81889763779526</v>
      </c>
      <c r="CS47" s="93">
        <f t="shared" si="45"/>
        <v>795.05300353356893</v>
      </c>
      <c r="CT47" s="93">
        <f t="shared" si="46"/>
        <v>1335.3474320241692</v>
      </c>
      <c r="CU47" s="93">
        <f t="shared" si="47"/>
        <v>1580.3921568627452</v>
      </c>
      <c r="CV47" s="93">
        <f t="shared" si="48"/>
        <v>2141.1764705882351</v>
      </c>
      <c r="CW47" s="93">
        <f t="shared" si="49"/>
        <v>2799.2125984251966</v>
      </c>
    </row>
    <row r="48" spans="1:101" s="98" customFormat="1">
      <c r="A48" s="3" t="s">
        <v>288</v>
      </c>
      <c r="B48" s="92" t="s">
        <v>244</v>
      </c>
      <c r="C48" s="3" t="s">
        <v>287</v>
      </c>
      <c r="D48" s="93">
        <v>11.041</v>
      </c>
      <c r="E48" s="94">
        <v>0.18976999999999999</v>
      </c>
      <c r="F48" s="94">
        <v>8.3000000000000001E-4</v>
      </c>
      <c r="G48" s="95">
        <v>13.621</v>
      </c>
      <c r="H48" s="96">
        <v>0.4</v>
      </c>
      <c r="I48" s="97">
        <v>0.51939999999999997</v>
      </c>
      <c r="J48" s="97">
        <v>1.4E-2</v>
      </c>
      <c r="K48" s="96">
        <v>9.7755999999999996E-2</v>
      </c>
      <c r="M48" s="99">
        <v>2696.5</v>
      </c>
      <c r="N48" s="98">
        <v>59</v>
      </c>
      <c r="O48" s="99">
        <v>2740</v>
      </c>
      <c r="P48" s="98">
        <v>4.5999999999999996</v>
      </c>
      <c r="Q48" s="93">
        <v>1.58</v>
      </c>
      <c r="R48" s="97">
        <v>6.1999999999999998E-3</v>
      </c>
      <c r="T48" s="98">
        <v>270</v>
      </c>
      <c r="U48" s="98">
        <v>120</v>
      </c>
      <c r="V48" s="98">
        <v>0.89</v>
      </c>
      <c r="W48" s="98">
        <v>0.98</v>
      </c>
      <c r="X48" s="98">
        <v>0.13</v>
      </c>
      <c r="Y48" s="98">
        <v>0.12</v>
      </c>
      <c r="Z48" s="98">
        <v>3.81</v>
      </c>
      <c r="AA48" s="98">
        <v>0.64</v>
      </c>
      <c r="AB48" s="98">
        <v>1.5</v>
      </c>
      <c r="AC48" s="98">
        <v>0.41</v>
      </c>
      <c r="AD48" s="98">
        <v>1150</v>
      </c>
      <c r="AE48" s="98">
        <v>100</v>
      </c>
      <c r="AF48" s="95">
        <v>5.4000000000000003E-3</v>
      </c>
      <c r="AG48" s="97">
        <v>6.8999999999999999E-3</v>
      </c>
      <c r="AH48" s="96">
        <v>7.9</v>
      </c>
      <c r="AI48" s="96">
        <v>1.3</v>
      </c>
      <c r="AJ48" s="95">
        <v>3.5999999999999997E-2</v>
      </c>
      <c r="AK48" s="95">
        <v>2.3E-2</v>
      </c>
      <c r="AL48" s="96">
        <v>0.98</v>
      </c>
      <c r="AM48" s="96">
        <v>0.38</v>
      </c>
      <c r="AN48" s="96">
        <v>2.63</v>
      </c>
      <c r="AO48" s="96">
        <v>0.83</v>
      </c>
      <c r="AP48" s="96">
        <v>0.31</v>
      </c>
      <c r="AQ48" s="96">
        <v>0.18</v>
      </c>
      <c r="AR48" s="96">
        <v>23.3</v>
      </c>
      <c r="AS48" s="93">
        <v>4.3</v>
      </c>
      <c r="AT48" s="96">
        <v>7.63</v>
      </c>
      <c r="AU48" s="96">
        <v>0.96</v>
      </c>
      <c r="AV48" s="99">
        <v>95.8</v>
      </c>
      <c r="AW48" s="98">
        <v>9.8000000000000007</v>
      </c>
      <c r="AX48" s="98">
        <v>38</v>
      </c>
      <c r="AY48" s="96">
        <v>3.8</v>
      </c>
      <c r="AZ48" s="98">
        <v>182</v>
      </c>
      <c r="BA48" s="98">
        <v>20</v>
      </c>
      <c r="BB48" s="98">
        <v>36.299999999999997</v>
      </c>
      <c r="BC48" s="93">
        <v>4</v>
      </c>
      <c r="BD48" s="98">
        <v>340</v>
      </c>
      <c r="BE48" s="98">
        <v>33</v>
      </c>
      <c r="BF48" s="98">
        <v>63.6</v>
      </c>
      <c r="BG48" s="99">
        <v>5.7</v>
      </c>
      <c r="BI48" s="93">
        <v>6.8</v>
      </c>
      <c r="BJ48" s="98">
        <v>2.2999999999999998</v>
      </c>
      <c r="BK48" s="98">
        <v>553000</v>
      </c>
      <c r="BL48" s="98">
        <v>60000</v>
      </c>
      <c r="BM48" s="98">
        <v>10000</v>
      </c>
      <c r="BN48" s="98">
        <v>1200</v>
      </c>
      <c r="BO48" s="99">
        <v>57.4</v>
      </c>
      <c r="BP48" s="98">
        <v>5.7</v>
      </c>
      <c r="BQ48" s="99">
        <v>105.6</v>
      </c>
      <c r="BR48" s="98">
        <v>9.9</v>
      </c>
      <c r="BT48" s="95">
        <f t="shared" si="28"/>
        <v>0.31058823529411761</v>
      </c>
      <c r="BU48" s="96">
        <f t="shared" si="29"/>
        <v>8.0612244897959187</v>
      </c>
      <c r="BV48" s="96">
        <f t="shared" si="30"/>
        <v>55.3</v>
      </c>
      <c r="BW48" s="96">
        <f t="shared" si="31"/>
        <v>0.54356060606060608</v>
      </c>
      <c r="BX48" s="99">
        <f>CK48/SQRT(CJ48*CL48)</f>
        <v>138.9195969133107</v>
      </c>
      <c r="BY48" s="96">
        <f t="shared" si="32"/>
        <v>8.0612244897959187</v>
      </c>
      <c r="BZ48" s="97">
        <f t="shared" si="33"/>
        <v>7.0097604259094946E-3</v>
      </c>
      <c r="CA48" s="95">
        <f t="shared" si="50"/>
        <v>0.12106803510999485</v>
      </c>
      <c r="CB48" s="99">
        <f t="shared" si="34"/>
        <v>172.81837247348875</v>
      </c>
      <c r="CC48" s="99">
        <f t="shared" si="34"/>
        <v>16.201722419389572</v>
      </c>
      <c r="CD48" s="100">
        <f t="shared" si="35"/>
        <v>736.62114500649989</v>
      </c>
      <c r="CE48" s="100">
        <f t="shared" si="51"/>
        <v>775.46623155621057</v>
      </c>
      <c r="CF48" s="100">
        <f t="shared" si="23"/>
        <v>35.969119853690607</v>
      </c>
      <c r="CG48" s="96">
        <f t="shared" si="36"/>
        <v>-0.26331505869870453</v>
      </c>
      <c r="CH48" s="96">
        <f t="shared" si="52"/>
        <v>0.47298195380545194</v>
      </c>
      <c r="CJ48" s="95">
        <f>AF48/CJ$4</f>
        <v>2.2784810126582282E-2</v>
      </c>
      <c r="CK48" s="93">
        <f t="shared" si="37"/>
        <v>12.908496732026144</v>
      </c>
      <c r="CL48" s="93">
        <f t="shared" si="38"/>
        <v>0.37894736842105259</v>
      </c>
      <c r="CM48" s="93">
        <f t="shared" si="39"/>
        <v>2.0985010706638114</v>
      </c>
      <c r="CN48" s="93">
        <f t="shared" si="40"/>
        <v>17.18954248366013</v>
      </c>
      <c r="CO48" s="93">
        <f t="shared" si="41"/>
        <v>5.3448275862068959</v>
      </c>
      <c r="CP48" s="93">
        <f t="shared" si="42"/>
        <v>113.38199513381996</v>
      </c>
      <c r="CQ48" s="93">
        <f t="shared" si="43"/>
        <v>204.01069518716577</v>
      </c>
      <c r="CR48" s="93">
        <f t="shared" si="44"/>
        <v>377.16535433070862</v>
      </c>
      <c r="CS48" s="93">
        <f t="shared" si="45"/>
        <v>671.37809187279152</v>
      </c>
      <c r="CT48" s="93">
        <f t="shared" si="46"/>
        <v>1099.6978851963745</v>
      </c>
      <c r="CU48" s="93">
        <f t="shared" si="47"/>
        <v>1423.5294117647059</v>
      </c>
      <c r="CV48" s="93">
        <f t="shared" si="48"/>
        <v>1999.9999999999998</v>
      </c>
      <c r="CW48" s="93">
        <f t="shared" si="49"/>
        <v>2503.9370078740158</v>
      </c>
    </row>
    <row r="49" spans="1:101" s="98" customFormat="1">
      <c r="A49" s="3" t="s">
        <v>289</v>
      </c>
      <c r="B49" s="92" t="s">
        <v>244</v>
      </c>
      <c r="C49" s="3" t="s">
        <v>287</v>
      </c>
      <c r="D49" s="93">
        <v>11.02</v>
      </c>
      <c r="E49" s="94">
        <v>0.18984999999999999</v>
      </c>
      <c r="F49" s="94">
        <v>7.3999999999999999E-4</v>
      </c>
      <c r="G49" s="95">
        <v>13.628</v>
      </c>
      <c r="H49" s="96">
        <v>0.4</v>
      </c>
      <c r="I49" s="97">
        <v>0.52</v>
      </c>
      <c r="J49" s="97">
        <v>1.4E-2</v>
      </c>
      <c r="K49" s="96">
        <v>0.54208000000000001</v>
      </c>
      <c r="M49" s="99">
        <v>2699.1</v>
      </c>
      <c r="N49" s="98">
        <v>60</v>
      </c>
      <c r="O49" s="99">
        <v>2738.8</v>
      </c>
      <c r="P49" s="98">
        <v>4.3</v>
      </c>
      <c r="Q49" s="93">
        <v>1.44</v>
      </c>
      <c r="R49" s="97">
        <v>5.7999999999999996E-3</v>
      </c>
      <c r="T49" s="98">
        <v>250</v>
      </c>
      <c r="U49" s="98">
        <v>120</v>
      </c>
      <c r="V49" s="98" t="s">
        <v>250</v>
      </c>
      <c r="W49" s="98" t="s">
        <v>250</v>
      </c>
      <c r="X49" s="98">
        <v>0.12</v>
      </c>
      <c r="Y49" s="98">
        <v>0.13</v>
      </c>
      <c r="Z49" s="98">
        <v>3.33</v>
      </c>
      <c r="AA49" s="98">
        <v>0.88</v>
      </c>
      <c r="AB49" s="98">
        <v>1.31</v>
      </c>
      <c r="AC49" s="98">
        <v>0.33</v>
      </c>
      <c r="AD49" s="98">
        <v>1259</v>
      </c>
      <c r="AE49" s="98">
        <v>93</v>
      </c>
      <c r="AF49" s="95">
        <v>8.9999999999999993E-3</v>
      </c>
      <c r="AG49" s="97">
        <v>9.1000000000000004E-3</v>
      </c>
      <c r="AH49" s="96">
        <v>9.6999999999999993</v>
      </c>
      <c r="AI49" s="96">
        <v>1.9</v>
      </c>
      <c r="AJ49" s="95">
        <v>0.16</v>
      </c>
      <c r="AK49" s="95">
        <v>0.19</v>
      </c>
      <c r="AL49" s="96">
        <v>0.91</v>
      </c>
      <c r="AM49" s="96">
        <v>0.41</v>
      </c>
      <c r="AN49" s="96">
        <v>3.44</v>
      </c>
      <c r="AO49" s="96">
        <v>0.88</v>
      </c>
      <c r="AP49" s="96">
        <v>0.20100000000000001</v>
      </c>
      <c r="AQ49" s="96">
        <v>9.7000000000000003E-2</v>
      </c>
      <c r="AR49" s="96">
        <v>24.4</v>
      </c>
      <c r="AS49" s="93">
        <v>4.5</v>
      </c>
      <c r="AT49" s="96">
        <v>8.5</v>
      </c>
      <c r="AU49" s="96">
        <v>1.2</v>
      </c>
      <c r="AV49" s="99">
        <v>111</v>
      </c>
      <c r="AW49" s="98">
        <v>11</v>
      </c>
      <c r="AX49" s="98">
        <v>44.9</v>
      </c>
      <c r="AY49" s="96">
        <v>4.8</v>
      </c>
      <c r="AZ49" s="98">
        <v>206</v>
      </c>
      <c r="BA49" s="98">
        <v>16</v>
      </c>
      <c r="BB49" s="98">
        <v>40.200000000000003</v>
      </c>
      <c r="BC49" s="93">
        <v>4.5999999999999996</v>
      </c>
      <c r="BD49" s="98">
        <v>365</v>
      </c>
      <c r="BE49" s="98">
        <v>36</v>
      </c>
      <c r="BF49" s="98">
        <v>72</v>
      </c>
      <c r="BG49" s="99">
        <v>6.8</v>
      </c>
      <c r="BI49" s="93">
        <v>6.2</v>
      </c>
      <c r="BJ49" s="98">
        <v>2.2000000000000002</v>
      </c>
      <c r="BK49" s="98">
        <v>609000</v>
      </c>
      <c r="BL49" s="98">
        <v>63000</v>
      </c>
      <c r="BM49" s="98">
        <v>12300</v>
      </c>
      <c r="BN49" s="98">
        <v>1100</v>
      </c>
      <c r="BO49" s="99">
        <v>70.8</v>
      </c>
      <c r="BP49" s="98">
        <v>4.5999999999999996</v>
      </c>
      <c r="BQ49" s="99">
        <v>121</v>
      </c>
      <c r="BR49" s="98">
        <v>7.9</v>
      </c>
      <c r="BT49" s="95">
        <f t="shared" si="28"/>
        <v>0.33150684931506852</v>
      </c>
      <c r="BU49" s="96">
        <f t="shared" si="29"/>
        <v>10.659340659340659</v>
      </c>
      <c r="BV49" s="96">
        <f t="shared" si="30"/>
        <v>49.512195121951223</v>
      </c>
      <c r="BW49" s="96">
        <f t="shared" si="31"/>
        <v>0.58512396694214874</v>
      </c>
      <c r="BX49" s="99">
        <f>CK49/SQRT(CJ49*CL49)</f>
        <v>62.67221466064678</v>
      </c>
      <c r="BY49" s="96">
        <f t="shared" si="32"/>
        <v>10.659340659340659</v>
      </c>
      <c r="BZ49" s="97">
        <f t="shared" si="33"/>
        <v>8.4665136293412702E-3</v>
      </c>
      <c r="CA49" s="95">
        <f t="shared" si="50"/>
        <v>6.7072664289492823E-2</v>
      </c>
      <c r="CB49" s="99">
        <f t="shared" si="34"/>
        <v>198.0210517925392</v>
      </c>
      <c r="CC49" s="99">
        <f t="shared" si="34"/>
        <v>12.928647183149256</v>
      </c>
      <c r="CD49" s="100">
        <f t="shared" si="35"/>
        <v>728.17058040483846</v>
      </c>
      <c r="CE49" s="100">
        <f t="shared" si="51"/>
        <v>766.35592122629635</v>
      </c>
      <c r="CF49" s="100">
        <f t="shared" si="23"/>
        <v>36.967168200992162</v>
      </c>
      <c r="CG49" s="96">
        <f t="shared" si="36"/>
        <v>5.4458630097955929E-2</v>
      </c>
      <c r="CH49" s="96">
        <f t="shared" si="52"/>
        <v>0.52095250161307172</v>
      </c>
      <c r="CJ49" s="95">
        <f>AF49/CJ$4</f>
        <v>3.7974683544303799E-2</v>
      </c>
      <c r="CK49" s="93">
        <f t="shared" si="37"/>
        <v>15.849673202614378</v>
      </c>
      <c r="CL49" s="93">
        <f t="shared" si="38"/>
        <v>1.6842105263157894</v>
      </c>
      <c r="CM49" s="93">
        <f t="shared" si="39"/>
        <v>1.9486081370449679</v>
      </c>
      <c r="CN49" s="93">
        <f t="shared" si="40"/>
        <v>22.483660130718956</v>
      </c>
      <c r="CO49" s="93">
        <f t="shared" si="41"/>
        <v>3.4655172413793105</v>
      </c>
      <c r="CP49" s="93">
        <f t="shared" si="42"/>
        <v>118.73479318734793</v>
      </c>
      <c r="CQ49" s="93">
        <f t="shared" si="43"/>
        <v>227.27272727272725</v>
      </c>
      <c r="CR49" s="93">
        <f t="shared" si="44"/>
        <v>437.00787401574803</v>
      </c>
      <c r="CS49" s="93">
        <f t="shared" si="45"/>
        <v>793.28621908127207</v>
      </c>
      <c r="CT49" s="93">
        <f t="shared" si="46"/>
        <v>1244.7129909365558</v>
      </c>
      <c r="CU49" s="93">
        <f t="shared" si="47"/>
        <v>1576.4705882352944</v>
      </c>
      <c r="CV49" s="93">
        <f t="shared" si="48"/>
        <v>2147.0588235294117</v>
      </c>
      <c r="CW49" s="93">
        <f t="shared" si="49"/>
        <v>2834.6456692913389</v>
      </c>
    </row>
    <row r="50" spans="1:101" s="98" customFormat="1">
      <c r="A50" s="3" t="s">
        <v>290</v>
      </c>
      <c r="B50" s="92" t="s">
        <v>244</v>
      </c>
      <c r="C50" s="3" t="s">
        <v>285</v>
      </c>
      <c r="D50" s="93">
        <v>11.032</v>
      </c>
      <c r="E50" s="94">
        <v>0.18995000000000001</v>
      </c>
      <c r="F50" s="94">
        <v>7.7999999999999999E-4</v>
      </c>
      <c r="G50" s="95">
        <v>13.63</v>
      </c>
      <c r="H50" s="96">
        <v>0.4</v>
      </c>
      <c r="I50" s="97">
        <v>0.51932999999999996</v>
      </c>
      <c r="J50" s="95">
        <v>1.4E-2</v>
      </c>
      <c r="K50" s="96">
        <v>0.31609999999999999</v>
      </c>
      <c r="M50" s="99">
        <v>2696.3</v>
      </c>
      <c r="N50" s="98">
        <v>59</v>
      </c>
      <c r="O50" s="99">
        <v>2742.2</v>
      </c>
      <c r="P50" s="98">
        <v>2.9</v>
      </c>
      <c r="Q50" s="93">
        <v>1.67</v>
      </c>
      <c r="R50" s="97">
        <v>6.3400000000000001E-3</v>
      </c>
      <c r="T50" s="98">
        <v>280</v>
      </c>
      <c r="U50" s="98">
        <v>160</v>
      </c>
      <c r="V50" s="98">
        <v>0.2</v>
      </c>
      <c r="W50" s="98">
        <v>1.1000000000000001</v>
      </c>
      <c r="X50" s="98">
        <v>0.39</v>
      </c>
      <c r="Y50" s="98">
        <v>0.19</v>
      </c>
      <c r="Z50" s="98">
        <v>2.96</v>
      </c>
      <c r="AA50" s="98">
        <v>0.69</v>
      </c>
      <c r="AB50" s="98">
        <v>1.27</v>
      </c>
      <c r="AC50" s="98">
        <v>0.28999999999999998</v>
      </c>
      <c r="AD50" s="98">
        <v>2510</v>
      </c>
      <c r="AE50" s="98">
        <v>340</v>
      </c>
      <c r="AF50" s="95">
        <v>5.0999999999999997E-2</v>
      </c>
      <c r="AG50" s="97">
        <v>0.03</v>
      </c>
      <c r="AH50" s="96">
        <v>7.4</v>
      </c>
      <c r="AI50" s="96">
        <v>1.3</v>
      </c>
      <c r="AJ50" s="95">
        <v>0.27200000000000002</v>
      </c>
      <c r="AK50" s="95">
        <v>6.9000000000000006E-2</v>
      </c>
      <c r="AL50" s="96">
        <v>3.62</v>
      </c>
      <c r="AM50" s="96">
        <v>0.89</v>
      </c>
      <c r="AN50" s="96">
        <v>8.9</v>
      </c>
      <c r="AO50" s="96">
        <v>1.6</v>
      </c>
      <c r="AP50" s="96">
        <v>1</v>
      </c>
      <c r="AQ50" s="96">
        <v>0.22</v>
      </c>
      <c r="AR50" s="96">
        <v>52.2</v>
      </c>
      <c r="AS50" s="93">
        <v>7.2</v>
      </c>
      <c r="AT50" s="96">
        <v>18.3</v>
      </c>
      <c r="AU50" s="96">
        <v>2.4</v>
      </c>
      <c r="AV50" s="99">
        <v>242</v>
      </c>
      <c r="AW50" s="98">
        <v>26</v>
      </c>
      <c r="AX50" s="98">
        <v>84.4</v>
      </c>
      <c r="AY50" s="96">
        <v>6.9</v>
      </c>
      <c r="AZ50" s="98">
        <v>376</v>
      </c>
      <c r="BA50" s="98">
        <v>28</v>
      </c>
      <c r="BB50" s="98">
        <v>78.400000000000006</v>
      </c>
      <c r="BC50" s="93">
        <v>6.7</v>
      </c>
      <c r="BD50" s="98">
        <v>635</v>
      </c>
      <c r="BE50" s="98">
        <v>57</v>
      </c>
      <c r="BF50" s="98">
        <v>126</v>
      </c>
      <c r="BG50" s="99">
        <v>14</v>
      </c>
      <c r="BI50" s="93">
        <v>6.3</v>
      </c>
      <c r="BJ50" s="98">
        <v>2.1</v>
      </c>
      <c r="BK50" s="98">
        <v>541000</v>
      </c>
      <c r="BL50" s="98">
        <v>67000</v>
      </c>
      <c r="BM50" s="98">
        <v>9650</v>
      </c>
      <c r="BN50" s="98">
        <v>940</v>
      </c>
      <c r="BO50" s="99">
        <v>108</v>
      </c>
      <c r="BP50" s="98">
        <v>11</v>
      </c>
      <c r="BQ50" s="99">
        <v>154</v>
      </c>
      <c r="BR50" s="98">
        <v>16</v>
      </c>
      <c r="BT50" s="95">
        <f t="shared" si="28"/>
        <v>0.24251968503937008</v>
      </c>
      <c r="BU50" s="96">
        <f t="shared" si="29"/>
        <v>2.0441988950276242</v>
      </c>
      <c r="BV50" s="96">
        <f t="shared" si="30"/>
        <v>56.062176165803109</v>
      </c>
      <c r="BW50" s="96">
        <f t="shared" si="31"/>
        <v>0.70129870129870131</v>
      </c>
      <c r="BX50" s="99">
        <f>CK50/SQRT(CJ50*CL50)</f>
        <v>15.404469021738779</v>
      </c>
      <c r="BY50" s="96">
        <f t="shared" si="32"/>
        <v>2.0441988950276242</v>
      </c>
      <c r="BZ50" s="97">
        <f t="shared" si="33"/>
        <v>8.1442187052893395E-4</v>
      </c>
      <c r="CA50" s="95">
        <f t="shared" si="50"/>
        <v>0.14183825516892001</v>
      </c>
      <c r="CB50" s="99">
        <f t="shared" si="34"/>
        <v>252.02679319050443</v>
      </c>
      <c r="CC50" s="99">
        <f t="shared" si="34"/>
        <v>26.18460188992254</v>
      </c>
      <c r="CD50" s="100">
        <f t="shared" si="35"/>
        <v>729.62419278363473</v>
      </c>
      <c r="CE50" s="100">
        <f t="shared" si="51"/>
        <v>767.92260125123028</v>
      </c>
      <c r="CF50" s="100">
        <f t="shared" si="23"/>
        <v>35.037591400861956</v>
      </c>
      <c r="CG50" s="96">
        <f t="shared" si="36"/>
        <v>-0.63733602779607068</v>
      </c>
      <c r="CH50" s="96">
        <f t="shared" si="52"/>
        <v>0.48239466958029592</v>
      </c>
      <c r="CJ50" s="95">
        <f>AF50/CJ$4</f>
        <v>0.21518987341772153</v>
      </c>
      <c r="CK50" s="93">
        <f t="shared" si="37"/>
        <v>12.091503267973858</v>
      </c>
      <c r="CL50" s="93">
        <f t="shared" si="38"/>
        <v>2.8631578947368421</v>
      </c>
      <c r="CM50" s="93">
        <f t="shared" si="39"/>
        <v>7.7516059957173447</v>
      </c>
      <c r="CN50" s="93">
        <f t="shared" si="40"/>
        <v>58.169934640522882</v>
      </c>
      <c r="CO50" s="93">
        <f t="shared" si="41"/>
        <v>17.241379310344826</v>
      </c>
      <c r="CP50" s="93">
        <f t="shared" si="42"/>
        <v>254.01459854014601</v>
      </c>
      <c r="CQ50" s="93">
        <f t="shared" si="43"/>
        <v>489.30481283422461</v>
      </c>
      <c r="CR50" s="93">
        <f t="shared" si="44"/>
        <v>952.75590551181097</v>
      </c>
      <c r="CS50" s="93">
        <f t="shared" si="45"/>
        <v>1491.1660777385162</v>
      </c>
      <c r="CT50" s="93">
        <f t="shared" si="46"/>
        <v>2271.9033232628399</v>
      </c>
      <c r="CU50" s="93">
        <f t="shared" si="47"/>
        <v>3074.5098039215691</v>
      </c>
      <c r="CV50" s="93">
        <f t="shared" si="48"/>
        <v>3735.2941176470586</v>
      </c>
      <c r="CW50" s="93">
        <f t="shared" si="49"/>
        <v>4960.6299212598424</v>
      </c>
    </row>
    <row r="51" spans="1:101" s="98" customFormat="1">
      <c r="A51" s="3" t="s">
        <v>291</v>
      </c>
      <c r="B51" s="92" t="s">
        <v>244</v>
      </c>
      <c r="C51" s="3" t="s">
        <v>285</v>
      </c>
      <c r="D51" s="93">
        <v>11.045999999999999</v>
      </c>
      <c r="E51" s="94">
        <v>0.18955</v>
      </c>
      <c r="F51" s="94">
        <v>7.7999999999999999E-4</v>
      </c>
      <c r="G51" s="95">
        <v>13.846</v>
      </c>
      <c r="H51" s="96">
        <v>0.41</v>
      </c>
      <c r="I51" s="97">
        <v>0.52800000000000002</v>
      </c>
      <c r="J51" s="95">
        <v>1.4E-2</v>
      </c>
      <c r="K51" s="96">
        <v>0.82948</v>
      </c>
      <c r="M51" s="99">
        <v>2733</v>
      </c>
      <c r="N51" s="98">
        <v>61</v>
      </c>
      <c r="O51" s="99">
        <v>2738.4</v>
      </c>
      <c r="P51" s="98">
        <v>3.6</v>
      </c>
      <c r="Q51" s="93">
        <v>0.2</v>
      </c>
      <c r="R51" s="97">
        <v>3.0999999999999999E-3</v>
      </c>
      <c r="T51" s="98">
        <v>320</v>
      </c>
      <c r="U51" s="98">
        <v>130</v>
      </c>
      <c r="V51" s="98">
        <v>0.5</v>
      </c>
      <c r="W51" s="98">
        <v>1.1000000000000001</v>
      </c>
      <c r="X51" s="98">
        <v>0.2</v>
      </c>
      <c r="Y51" s="98">
        <v>0.17</v>
      </c>
      <c r="Z51" s="98">
        <v>3.34</v>
      </c>
      <c r="AA51" s="98">
        <v>0.63</v>
      </c>
      <c r="AB51" s="98">
        <v>0.98</v>
      </c>
      <c r="AC51" s="98">
        <v>0.43</v>
      </c>
      <c r="AD51" s="98">
        <v>1530</v>
      </c>
      <c r="AE51" s="98">
        <v>160</v>
      </c>
      <c r="AF51" s="95" t="s">
        <v>250</v>
      </c>
      <c r="AG51" s="97" t="s">
        <v>250</v>
      </c>
      <c r="AH51" s="96">
        <v>6.6</v>
      </c>
      <c r="AI51" s="96">
        <v>1</v>
      </c>
      <c r="AJ51" s="95">
        <v>7.3999999999999996E-2</v>
      </c>
      <c r="AK51" s="95">
        <v>2.8000000000000001E-2</v>
      </c>
      <c r="AL51" s="96">
        <v>1.5</v>
      </c>
      <c r="AM51" s="96">
        <v>0.59</v>
      </c>
      <c r="AN51" s="96">
        <v>4.26</v>
      </c>
      <c r="AO51" s="96">
        <v>0.98</v>
      </c>
      <c r="AP51" s="96">
        <v>0.33</v>
      </c>
      <c r="AQ51" s="96">
        <v>0.12</v>
      </c>
      <c r="AR51" s="96">
        <v>28.2</v>
      </c>
      <c r="AS51" s="93">
        <v>4.7</v>
      </c>
      <c r="AT51" s="96">
        <v>10.3</v>
      </c>
      <c r="AU51" s="96">
        <v>1.6</v>
      </c>
      <c r="AV51" s="99">
        <v>128</v>
      </c>
      <c r="AW51" s="98">
        <v>16</v>
      </c>
      <c r="AX51" s="98">
        <v>48.7</v>
      </c>
      <c r="AY51" s="96">
        <v>3.8</v>
      </c>
      <c r="AZ51" s="98">
        <v>243</v>
      </c>
      <c r="BA51" s="98">
        <v>25</v>
      </c>
      <c r="BB51" s="98">
        <v>44.6</v>
      </c>
      <c r="BC51" s="93">
        <v>3.4</v>
      </c>
      <c r="BD51" s="98">
        <v>418</v>
      </c>
      <c r="BE51" s="98">
        <v>38</v>
      </c>
      <c r="BF51" s="98">
        <v>81.2</v>
      </c>
      <c r="BG51" s="99">
        <v>7</v>
      </c>
      <c r="BI51" s="93">
        <v>8.1999999999999993</v>
      </c>
      <c r="BJ51" s="98">
        <v>2.5</v>
      </c>
      <c r="BK51" s="98">
        <v>548000</v>
      </c>
      <c r="BL51" s="98">
        <v>52000</v>
      </c>
      <c r="BM51" s="98">
        <v>9210</v>
      </c>
      <c r="BN51" s="98">
        <v>880</v>
      </c>
      <c r="BO51" s="99">
        <v>106.6</v>
      </c>
      <c r="BP51" s="98">
        <v>9.1</v>
      </c>
      <c r="BQ51" s="99">
        <v>137</v>
      </c>
      <c r="BR51" s="98">
        <v>12</v>
      </c>
      <c r="BT51" s="95">
        <f t="shared" si="28"/>
        <v>0.32775119617224879</v>
      </c>
      <c r="BU51" s="96">
        <f t="shared" si="29"/>
        <v>4.3999999999999995</v>
      </c>
      <c r="BV51" s="96">
        <f t="shared" si="30"/>
        <v>59.500542888165036</v>
      </c>
      <c r="BW51" s="96">
        <f t="shared" si="31"/>
        <v>0.77810218978102186</v>
      </c>
      <c r="BX51" s="99"/>
      <c r="BY51" s="96">
        <f t="shared" si="32"/>
        <v>4.3999999999999995</v>
      </c>
      <c r="BZ51" s="97">
        <f t="shared" si="33"/>
        <v>2.8758169934640521E-3</v>
      </c>
      <c r="CA51" s="95">
        <f t="shared" si="50"/>
        <v>9.204669958678538E-2</v>
      </c>
      <c r="CB51" s="99">
        <f t="shared" si="34"/>
        <v>224.20565368246176</v>
      </c>
      <c r="CC51" s="99">
        <f t="shared" si="34"/>
        <v>19.638451417441907</v>
      </c>
      <c r="CD51" s="100">
        <f t="shared" si="35"/>
        <v>754.19285617902563</v>
      </c>
      <c r="CE51" s="100">
        <f t="shared" si="51"/>
        <v>794.4285799645246</v>
      </c>
      <c r="CF51" s="100">
        <f t="shared" si="23"/>
        <v>33.87735662087055</v>
      </c>
      <c r="CG51" s="96">
        <f t="shared" si="36"/>
        <v>-0.96261821946451676</v>
      </c>
      <c r="CH51" s="96">
        <f t="shared" si="52"/>
        <v>0.40153484911298193</v>
      </c>
      <c r="CJ51" s="95"/>
      <c r="CK51" s="93">
        <f t="shared" si="37"/>
        <v>10.784313725490195</v>
      </c>
      <c r="CL51" s="93">
        <f t="shared" si="38"/>
        <v>0.77894736842105261</v>
      </c>
      <c r="CM51" s="93">
        <f t="shared" si="39"/>
        <v>3.2119914346895073</v>
      </c>
      <c r="CN51" s="93">
        <f t="shared" si="40"/>
        <v>27.843137254901961</v>
      </c>
      <c r="CO51" s="93">
        <f t="shared" si="41"/>
        <v>5.6896551724137927</v>
      </c>
      <c r="CP51" s="93">
        <f t="shared" si="42"/>
        <v>137.22627737226279</v>
      </c>
      <c r="CQ51" s="93">
        <f t="shared" si="43"/>
        <v>275.40106951871655</v>
      </c>
      <c r="CR51" s="93">
        <f t="shared" si="44"/>
        <v>503.93700787401576</v>
      </c>
      <c r="CS51" s="93">
        <f t="shared" si="45"/>
        <v>860.4240282685513</v>
      </c>
      <c r="CT51" s="93">
        <f t="shared" si="46"/>
        <v>1468.2779456193352</v>
      </c>
      <c r="CU51" s="93">
        <f t="shared" si="47"/>
        <v>1749.0196078431375</v>
      </c>
      <c r="CV51" s="93">
        <f t="shared" si="48"/>
        <v>2458.8235294117644</v>
      </c>
      <c r="CW51" s="93">
        <f t="shared" si="49"/>
        <v>3196.8503937007877</v>
      </c>
    </row>
    <row r="52" spans="1:101" s="98" customFormat="1">
      <c r="A52" s="3" t="s">
        <v>292</v>
      </c>
      <c r="B52" s="92" t="s">
        <v>244</v>
      </c>
      <c r="C52" s="3" t="s">
        <v>285</v>
      </c>
      <c r="D52" s="93">
        <v>11.007</v>
      </c>
      <c r="E52" s="94">
        <v>0.18922</v>
      </c>
      <c r="F52" s="94">
        <v>7.6000000000000004E-4</v>
      </c>
      <c r="G52" s="95">
        <v>13.57</v>
      </c>
      <c r="H52" s="96">
        <v>0.4</v>
      </c>
      <c r="I52" s="97">
        <v>0.51914000000000005</v>
      </c>
      <c r="J52" s="95">
        <v>1.4E-2</v>
      </c>
      <c r="K52" s="96">
        <v>0.37008000000000002</v>
      </c>
      <c r="M52" s="99">
        <v>2695.5</v>
      </c>
      <c r="N52" s="98">
        <v>59</v>
      </c>
      <c r="O52" s="99">
        <v>2735</v>
      </c>
      <c r="P52" s="98">
        <v>2.6</v>
      </c>
      <c r="Q52" s="93">
        <v>1.44</v>
      </c>
      <c r="R52" s="97">
        <v>5.5599999999999998E-3</v>
      </c>
      <c r="T52" s="98">
        <v>340</v>
      </c>
      <c r="U52" s="98">
        <v>140</v>
      </c>
      <c r="V52" s="98" t="s">
        <v>250</v>
      </c>
      <c r="W52" s="98" t="s">
        <v>250</v>
      </c>
      <c r="X52" s="98">
        <v>0.42</v>
      </c>
      <c r="Y52" s="98">
        <v>0.28000000000000003</v>
      </c>
      <c r="Z52" s="98">
        <v>2.27</v>
      </c>
      <c r="AA52" s="98">
        <v>0.63</v>
      </c>
      <c r="AB52" s="98">
        <v>1.28</v>
      </c>
      <c r="AC52" s="98">
        <v>0.55000000000000004</v>
      </c>
      <c r="AD52" s="98">
        <v>2880</v>
      </c>
      <c r="AE52" s="98">
        <v>260</v>
      </c>
      <c r="AF52" s="95">
        <v>2.5999999999999999E-2</v>
      </c>
      <c r="AG52" s="97">
        <v>1.4E-2</v>
      </c>
      <c r="AH52" s="96">
        <v>5.3</v>
      </c>
      <c r="AI52" s="96">
        <v>1.1000000000000001</v>
      </c>
      <c r="AJ52" s="95">
        <v>0.25</v>
      </c>
      <c r="AK52" s="95">
        <v>5.8000000000000003E-2</v>
      </c>
      <c r="AL52" s="96">
        <v>4.3</v>
      </c>
      <c r="AM52" s="96">
        <v>1.2</v>
      </c>
      <c r="AN52" s="96">
        <v>12.1</v>
      </c>
      <c r="AO52" s="96">
        <v>1.8</v>
      </c>
      <c r="AP52" s="96">
        <v>1.1499999999999999</v>
      </c>
      <c r="AQ52" s="96">
        <v>0.27</v>
      </c>
      <c r="AR52" s="96">
        <v>65.5</v>
      </c>
      <c r="AS52" s="93">
        <v>8.4</v>
      </c>
      <c r="AT52" s="96">
        <v>21.9</v>
      </c>
      <c r="AU52" s="96">
        <v>2</v>
      </c>
      <c r="AV52" s="99">
        <v>273</v>
      </c>
      <c r="AW52" s="98">
        <v>31</v>
      </c>
      <c r="AX52" s="98">
        <v>101</v>
      </c>
      <c r="AY52" s="93">
        <v>10</v>
      </c>
      <c r="AZ52" s="98">
        <v>453</v>
      </c>
      <c r="BA52" s="98">
        <v>50</v>
      </c>
      <c r="BB52" s="98">
        <v>85.9</v>
      </c>
      <c r="BC52" s="93">
        <v>9.5</v>
      </c>
      <c r="BD52" s="98">
        <v>726</v>
      </c>
      <c r="BE52" s="98">
        <v>85</v>
      </c>
      <c r="BF52" s="98">
        <v>136</v>
      </c>
      <c r="BG52" s="99">
        <v>16</v>
      </c>
      <c r="BI52" s="93">
        <v>5.9</v>
      </c>
      <c r="BJ52" s="98">
        <v>2.5</v>
      </c>
      <c r="BK52" s="98">
        <v>530000</v>
      </c>
      <c r="BL52" s="98">
        <v>61000</v>
      </c>
      <c r="BM52" s="98">
        <v>9100</v>
      </c>
      <c r="BN52" s="98">
        <v>1100</v>
      </c>
      <c r="BO52" s="99">
        <v>103.8</v>
      </c>
      <c r="BP52" s="98">
        <v>7.7</v>
      </c>
      <c r="BQ52" s="99">
        <v>142</v>
      </c>
      <c r="BR52" s="98">
        <v>11</v>
      </c>
      <c r="BT52" s="95">
        <f t="shared" si="28"/>
        <v>0.19559228650137742</v>
      </c>
      <c r="BU52" s="96">
        <f t="shared" si="29"/>
        <v>1.2325581395348837</v>
      </c>
      <c r="BV52" s="96">
        <f t="shared" si="30"/>
        <v>58.241758241758241</v>
      </c>
      <c r="BW52" s="96">
        <f t="shared" si="31"/>
        <v>0.73098591549295777</v>
      </c>
      <c r="BX52" s="99">
        <f>CK52/SQRT(CJ52*CL52)</f>
        <v>16.117725118743689</v>
      </c>
      <c r="BY52" s="96">
        <f t="shared" si="32"/>
        <v>1.2325581395348837</v>
      </c>
      <c r="BZ52" s="97">
        <f t="shared" si="33"/>
        <v>4.2797157622739016E-4</v>
      </c>
      <c r="CA52" s="95">
        <f t="shared" si="50"/>
        <v>0.12488438519399818</v>
      </c>
      <c r="CB52" s="99">
        <f t="shared" si="34"/>
        <v>232.38834177306254</v>
      </c>
      <c r="CC52" s="99">
        <f t="shared" si="34"/>
        <v>18.001913799321745</v>
      </c>
      <c r="CD52" s="100">
        <f t="shared" si="35"/>
        <v>723.69141416200569</v>
      </c>
      <c r="CE52" s="100">
        <f t="shared" si="51"/>
        <v>761.52943853971772</v>
      </c>
      <c r="CF52" s="100">
        <f t="shared" si="23"/>
        <v>43.153816799907489</v>
      </c>
      <c r="CG52" s="96">
        <f t="shared" si="36"/>
        <v>-1.0885866458571538</v>
      </c>
      <c r="CH52" s="96">
        <f t="shared" si="52"/>
        <v>0.56355537554043511</v>
      </c>
      <c r="CJ52" s="95">
        <f>AF52/CJ$4</f>
        <v>0.10970464135021098</v>
      </c>
      <c r="CK52" s="93">
        <f t="shared" si="37"/>
        <v>8.6601307189542478</v>
      </c>
      <c r="CL52" s="93">
        <f t="shared" si="38"/>
        <v>2.6315789473684212</v>
      </c>
      <c r="CM52" s="93">
        <f t="shared" si="39"/>
        <v>9.2077087794432533</v>
      </c>
      <c r="CN52" s="93">
        <f t="shared" si="40"/>
        <v>79.084967320261441</v>
      </c>
      <c r="CO52" s="93">
        <f t="shared" si="41"/>
        <v>19.827586206896548</v>
      </c>
      <c r="CP52" s="93">
        <f t="shared" si="42"/>
        <v>318.73479318734798</v>
      </c>
      <c r="CQ52" s="93">
        <f t="shared" si="43"/>
        <v>585.56149732620315</v>
      </c>
      <c r="CR52" s="93">
        <f t="shared" si="44"/>
        <v>1074.8031496062993</v>
      </c>
      <c r="CS52" s="93">
        <f t="shared" si="45"/>
        <v>1784.452296819788</v>
      </c>
      <c r="CT52" s="93">
        <f t="shared" si="46"/>
        <v>2737.1601208459215</v>
      </c>
      <c r="CU52" s="93">
        <f t="shared" si="47"/>
        <v>3368.6274509803925</v>
      </c>
      <c r="CV52" s="93">
        <f t="shared" si="48"/>
        <v>4270.5882352941171</v>
      </c>
      <c r="CW52" s="93">
        <f t="shared" si="49"/>
        <v>5354.3307086614177</v>
      </c>
    </row>
    <row r="53" spans="1:101" s="118" customFormat="1">
      <c r="A53" s="111" t="s">
        <v>293</v>
      </c>
      <c r="B53" s="112" t="s">
        <v>244</v>
      </c>
      <c r="C53" s="111"/>
      <c r="D53" s="113">
        <v>11.005000000000001</v>
      </c>
      <c r="E53" s="114">
        <v>0.18970000000000001</v>
      </c>
      <c r="F53" s="114">
        <v>1.1000000000000001E-3</v>
      </c>
      <c r="G53" s="115">
        <v>13.603999999999999</v>
      </c>
      <c r="H53" s="116">
        <v>0.4</v>
      </c>
      <c r="I53" s="117">
        <v>0.51905000000000001</v>
      </c>
      <c r="J53" s="117">
        <v>1.4E-2</v>
      </c>
      <c r="K53" s="116">
        <v>9.9628999999999995E-2</v>
      </c>
      <c r="M53" s="119">
        <v>2695.1</v>
      </c>
      <c r="N53" s="118">
        <v>59</v>
      </c>
      <c r="O53" s="119">
        <v>2739.1</v>
      </c>
      <c r="P53" s="118">
        <v>4.4000000000000004</v>
      </c>
      <c r="Q53" s="113">
        <v>1.57</v>
      </c>
      <c r="R53" s="117">
        <v>6.0000000000000001E-3</v>
      </c>
      <c r="T53" s="118">
        <v>320</v>
      </c>
      <c r="U53" s="118">
        <v>120</v>
      </c>
      <c r="V53" s="118" t="s">
        <v>250</v>
      </c>
      <c r="W53" s="118" t="s">
        <v>250</v>
      </c>
      <c r="X53" s="118">
        <v>5.2999999999999999E-2</v>
      </c>
      <c r="Y53" s="118">
        <v>7.5999999999999998E-2</v>
      </c>
      <c r="Z53" s="118">
        <v>2.4</v>
      </c>
      <c r="AA53" s="118">
        <v>0.71</v>
      </c>
      <c r="AB53" s="118">
        <v>0.88</v>
      </c>
      <c r="AC53" s="118">
        <v>0.36</v>
      </c>
      <c r="AD53" s="118">
        <v>954</v>
      </c>
      <c r="AE53" s="118">
        <v>98</v>
      </c>
      <c r="AF53" s="115">
        <v>1.67</v>
      </c>
      <c r="AG53" s="117">
        <v>0.33</v>
      </c>
      <c r="AH53" s="116">
        <v>9</v>
      </c>
      <c r="AI53" s="116">
        <v>1.3</v>
      </c>
      <c r="AJ53" s="115">
        <v>0.73</v>
      </c>
      <c r="AK53" s="115">
        <v>0.14000000000000001</v>
      </c>
      <c r="AL53" s="116">
        <v>4.5999999999999996</v>
      </c>
      <c r="AM53" s="116">
        <v>1</v>
      </c>
      <c r="AN53" s="116">
        <v>3.41</v>
      </c>
      <c r="AO53" s="116">
        <v>0.94</v>
      </c>
      <c r="AP53" s="116">
        <v>0.44</v>
      </c>
      <c r="AQ53" s="116">
        <v>0.14000000000000001</v>
      </c>
      <c r="AR53" s="116">
        <v>14.9</v>
      </c>
      <c r="AS53" s="113">
        <v>2.7</v>
      </c>
      <c r="AT53" s="116">
        <v>6.26</v>
      </c>
      <c r="AU53" s="116">
        <v>0.98</v>
      </c>
      <c r="AV53" s="119">
        <v>78.900000000000006</v>
      </c>
      <c r="AW53" s="118">
        <v>5.6</v>
      </c>
      <c r="AX53" s="118">
        <v>31.2</v>
      </c>
      <c r="AY53" s="116">
        <v>2.2000000000000002</v>
      </c>
      <c r="AZ53" s="118">
        <v>154</v>
      </c>
      <c r="BA53" s="118">
        <v>11</v>
      </c>
      <c r="BB53" s="118">
        <v>29.6</v>
      </c>
      <c r="BC53" s="113">
        <v>2.2000000000000002</v>
      </c>
      <c r="BD53" s="118">
        <v>286</v>
      </c>
      <c r="BE53" s="118">
        <v>28</v>
      </c>
      <c r="BF53" s="118">
        <v>57.8</v>
      </c>
      <c r="BG53" s="118">
        <v>4.7</v>
      </c>
      <c r="BI53" s="113">
        <v>6.9</v>
      </c>
      <c r="BJ53" s="118">
        <v>2.2000000000000002</v>
      </c>
      <c r="BK53" s="118">
        <v>535000</v>
      </c>
      <c r="BL53" s="118">
        <v>55000</v>
      </c>
      <c r="BM53" s="118">
        <v>9960</v>
      </c>
      <c r="BN53" s="118">
        <v>1200</v>
      </c>
      <c r="BO53" s="119">
        <v>41.1</v>
      </c>
      <c r="BP53" s="118">
        <v>3.7</v>
      </c>
      <c r="BQ53" s="119">
        <v>81.3</v>
      </c>
      <c r="BR53" s="118">
        <v>7</v>
      </c>
      <c r="CB53" s="119"/>
      <c r="CC53" s="119"/>
      <c r="CD53" s="120"/>
      <c r="CE53" s="100"/>
      <c r="CF53" s="100"/>
      <c r="CG53" s="116"/>
      <c r="CH53" s="96"/>
    </row>
    <row r="54" spans="1:101" s="98" customFormat="1">
      <c r="A54" s="3" t="s">
        <v>294</v>
      </c>
      <c r="B54" s="92" t="s">
        <v>244</v>
      </c>
      <c r="C54" s="3" t="s">
        <v>285</v>
      </c>
      <c r="D54" s="93">
        <v>11.013999999999999</v>
      </c>
      <c r="E54" s="94">
        <v>0.18929000000000001</v>
      </c>
      <c r="F54" s="94">
        <v>8.0000000000000004E-4</v>
      </c>
      <c r="G54" s="95">
        <v>14.55</v>
      </c>
      <c r="H54" s="96">
        <v>0.44</v>
      </c>
      <c r="I54" s="97">
        <v>0.55659999999999998</v>
      </c>
      <c r="J54" s="95">
        <v>1.4999999999999999E-2</v>
      </c>
      <c r="K54" s="96">
        <v>0.90624000000000005</v>
      </c>
      <c r="M54" s="99">
        <v>2853</v>
      </c>
      <c r="N54" s="98">
        <v>63</v>
      </c>
      <c r="O54" s="99">
        <v>2736.1</v>
      </c>
      <c r="P54" s="98">
        <v>4.2</v>
      </c>
      <c r="Q54" s="93">
        <v>-4.25</v>
      </c>
      <c r="R54" s="97">
        <v>0</v>
      </c>
      <c r="T54" s="98">
        <v>430</v>
      </c>
      <c r="U54" s="98">
        <v>150</v>
      </c>
      <c r="V54" s="98">
        <v>0.9</v>
      </c>
      <c r="W54" s="98">
        <v>1.2</v>
      </c>
      <c r="X54" s="98">
        <v>0.33</v>
      </c>
      <c r="Y54" s="98">
        <v>0.2</v>
      </c>
      <c r="Z54" s="98">
        <v>4.8</v>
      </c>
      <c r="AA54" s="98">
        <v>1.3</v>
      </c>
      <c r="AB54" s="98">
        <v>1.54</v>
      </c>
      <c r="AC54" s="98">
        <v>0.53</v>
      </c>
      <c r="AD54" s="98">
        <v>3620</v>
      </c>
      <c r="AE54" s="98">
        <v>390</v>
      </c>
      <c r="AF54" s="95">
        <v>0.05</v>
      </c>
      <c r="AG54" s="97">
        <v>2.9000000000000001E-2</v>
      </c>
      <c r="AH54" s="96">
        <v>9.6</v>
      </c>
      <c r="AI54" s="96">
        <v>1.2</v>
      </c>
      <c r="AJ54" s="95">
        <v>0.35599999999999998</v>
      </c>
      <c r="AK54" s="95">
        <v>9.1999999999999998E-2</v>
      </c>
      <c r="AL54" s="96">
        <v>5.6</v>
      </c>
      <c r="AM54" s="96">
        <v>1.2</v>
      </c>
      <c r="AN54" s="96">
        <v>11</v>
      </c>
      <c r="AO54" s="96">
        <v>2.2000000000000002</v>
      </c>
      <c r="AP54" s="96">
        <v>1.26</v>
      </c>
      <c r="AQ54" s="96">
        <v>0.38</v>
      </c>
      <c r="AR54" s="96">
        <v>88</v>
      </c>
      <c r="AS54" s="93">
        <v>13</v>
      </c>
      <c r="AT54" s="96">
        <v>27.5</v>
      </c>
      <c r="AU54" s="96">
        <v>3.4</v>
      </c>
      <c r="AV54" s="99">
        <v>349</v>
      </c>
      <c r="AW54" s="98">
        <v>39</v>
      </c>
      <c r="AX54" s="98">
        <v>128</v>
      </c>
      <c r="AY54" s="93">
        <v>13</v>
      </c>
      <c r="AZ54" s="98">
        <v>583</v>
      </c>
      <c r="BA54" s="98">
        <v>70</v>
      </c>
      <c r="BB54" s="98">
        <v>108</v>
      </c>
      <c r="BC54" s="93">
        <v>14</v>
      </c>
      <c r="BD54" s="98">
        <v>920</v>
      </c>
      <c r="BE54" s="98">
        <v>120</v>
      </c>
      <c r="BF54" s="98">
        <v>169</v>
      </c>
      <c r="BG54" s="99">
        <v>19</v>
      </c>
      <c r="BI54" s="93">
        <v>5.5</v>
      </c>
      <c r="BJ54" s="98">
        <v>2.5</v>
      </c>
      <c r="BK54" s="98">
        <v>495000</v>
      </c>
      <c r="BL54" s="98">
        <v>55000</v>
      </c>
      <c r="BM54" s="98">
        <v>9300</v>
      </c>
      <c r="BN54" s="98">
        <v>1100</v>
      </c>
      <c r="BO54" s="99">
        <v>170</v>
      </c>
      <c r="BP54" s="98">
        <v>18</v>
      </c>
      <c r="BQ54" s="99">
        <v>228</v>
      </c>
      <c r="BR54" s="98">
        <v>23</v>
      </c>
      <c r="BT54" s="95">
        <f t="shared" ref="BT54:BT59" si="53">BQ54/BD54</f>
        <v>0.24782608695652175</v>
      </c>
      <c r="BU54" s="96">
        <f t="shared" ref="BU54:BU59" si="54">AH54/AL54</f>
        <v>1.7142857142857144</v>
      </c>
      <c r="BV54" s="96">
        <f t="shared" ref="BV54:BV59" si="55">BK54/BM54</f>
        <v>53.225806451612904</v>
      </c>
      <c r="BW54" s="96">
        <f t="shared" ref="BW54:BW59" si="56">BO54/BQ54</f>
        <v>0.74561403508771928</v>
      </c>
      <c r="BX54" s="99">
        <f t="shared" ref="BX54:BX59" si="57">CK54/SQRT(CJ54*CL54)</f>
        <v>17.641917441539256</v>
      </c>
      <c r="BY54" s="96">
        <f t="shared" ref="BY54:BY59" si="58">AH54/AL54</f>
        <v>1.7142857142857144</v>
      </c>
      <c r="BZ54" s="97">
        <f t="shared" ref="BZ54:BZ59" si="59">(AH54/AL54)/AD54</f>
        <v>4.7355958958168905E-4</v>
      </c>
      <c r="CA54" s="95">
        <f t="shared" si="50"/>
        <v>0.12381022174298964</v>
      </c>
      <c r="CB54" s="99">
        <f t="shared" ref="CB54:CC59" si="60">BQ54*(EXP(0.0001551*2740)+0.0072*EXP(2740*0.0009849))</f>
        <v>373.13057693139621</v>
      </c>
      <c r="CC54" s="99">
        <f t="shared" si="60"/>
        <v>37.640365216763648</v>
      </c>
      <c r="CD54" s="100">
        <f t="shared" si="35"/>
        <v>717.41924957247181</v>
      </c>
      <c r="CE54" s="100">
        <f t="shared" si="51"/>
        <v>754.77369387117153</v>
      </c>
      <c r="CF54" s="100">
        <f t="shared" si="23"/>
        <v>45.533241753678325</v>
      </c>
      <c r="CG54" s="96">
        <f t="shared" ref="CG54:CG59" si="61">2.28+3.99*LOG(AH54/((CB54*BI54)^(1/2)))</f>
        <v>-0.40862372077307052</v>
      </c>
      <c r="CH54" s="96">
        <f t="shared" si="52"/>
        <v>0.52087803235591656</v>
      </c>
      <c r="CJ54" s="95">
        <f t="shared" ref="CJ54:CJ59" si="62">AF54/CJ$4</f>
        <v>0.21097046413502113</v>
      </c>
      <c r="CK54" s="93">
        <f t="shared" ref="CK54:CK59" si="63">AH54/CK$4</f>
        <v>15.686274509803921</v>
      </c>
      <c r="CL54" s="93">
        <f t="shared" ref="CL54:CL59" si="64">AJ54/CL$4</f>
        <v>3.7473684210526312</v>
      </c>
      <c r="CM54" s="93">
        <f t="shared" ref="CM54:CM59" si="65">AL54/CM$4</f>
        <v>11.991434689507493</v>
      </c>
      <c r="CN54" s="93">
        <f t="shared" ref="CN54:CN59" si="66">AN54/CN$4</f>
        <v>71.895424836601308</v>
      </c>
      <c r="CO54" s="93">
        <f t="shared" ref="CO54:CO59" si="67">AP54/CO$4</f>
        <v>21.72413793103448</v>
      </c>
      <c r="CP54" s="93">
        <f t="shared" ref="CP54:CP59" si="68">AR54/CP$4</f>
        <v>428.22384428223847</v>
      </c>
      <c r="CQ54" s="93">
        <f t="shared" ref="CQ54:CQ59" si="69">AT54/CQ$4</f>
        <v>735.29411764705878</v>
      </c>
      <c r="CR54" s="93">
        <f t="shared" ref="CR54:CR59" si="70">AV54/CR$4</f>
        <v>1374.0157480314961</v>
      </c>
      <c r="CS54" s="93">
        <f t="shared" ref="CS54:CS59" si="71">AX54/CS$4</f>
        <v>2261.4840989399295</v>
      </c>
      <c r="CT54" s="93">
        <f t="shared" ref="CT54:CT59" si="72">AZ54/CT$4</f>
        <v>3522.6586102719029</v>
      </c>
      <c r="CU54" s="93">
        <f t="shared" ref="CU54:CU59" si="73">BB54/CU$4</f>
        <v>4235.2941176470595</v>
      </c>
      <c r="CV54" s="93">
        <f t="shared" ref="CV54:CV59" si="74">BD54/CV$4</f>
        <v>5411.7647058823522</v>
      </c>
      <c r="CW54" s="93">
        <f t="shared" ref="CW54:CW59" si="75">BF54/CW$4</f>
        <v>6653.5433070866147</v>
      </c>
    </row>
    <row r="55" spans="1:101" s="98" customFormat="1">
      <c r="A55" s="3" t="s">
        <v>295</v>
      </c>
      <c r="B55" s="92" t="s">
        <v>244</v>
      </c>
      <c r="C55" s="3" t="s">
        <v>285</v>
      </c>
      <c r="D55" s="93">
        <v>11.007999999999999</v>
      </c>
      <c r="E55" s="94">
        <v>0.18951999999999999</v>
      </c>
      <c r="F55" s="94">
        <v>9.5E-4</v>
      </c>
      <c r="G55" s="95">
        <v>13.233000000000001</v>
      </c>
      <c r="H55" s="96">
        <v>0.39</v>
      </c>
      <c r="I55" s="97">
        <v>0.50570000000000004</v>
      </c>
      <c r="J55" s="95">
        <v>1.4E-2</v>
      </c>
      <c r="K55" s="96">
        <v>0.77049000000000001</v>
      </c>
      <c r="M55" s="99">
        <v>2638</v>
      </c>
      <c r="N55" s="98">
        <v>59</v>
      </c>
      <c r="O55" s="99">
        <v>2737.8</v>
      </c>
      <c r="P55" s="98">
        <v>4.8</v>
      </c>
      <c r="Q55" s="93">
        <v>3.64</v>
      </c>
      <c r="R55" s="97">
        <v>1.2999999999999999E-2</v>
      </c>
      <c r="T55" s="98">
        <v>320</v>
      </c>
      <c r="U55" s="98">
        <v>110</v>
      </c>
      <c r="V55" s="98">
        <v>0.7</v>
      </c>
      <c r="W55" s="98">
        <v>1</v>
      </c>
      <c r="X55" s="98">
        <v>0.23</v>
      </c>
      <c r="Y55" s="98">
        <v>0.17</v>
      </c>
      <c r="Z55" s="98">
        <v>3.8</v>
      </c>
      <c r="AA55" s="98">
        <v>0.93</v>
      </c>
      <c r="AB55" s="98">
        <v>1.37</v>
      </c>
      <c r="AC55" s="98">
        <v>0.39</v>
      </c>
      <c r="AD55" s="98">
        <v>1350</v>
      </c>
      <c r="AE55" s="98">
        <v>160</v>
      </c>
      <c r="AF55" s="95">
        <v>8.8999999999999996E-2</v>
      </c>
      <c r="AG55" s="97">
        <v>2.8000000000000001E-2</v>
      </c>
      <c r="AH55" s="96">
        <v>6.5</v>
      </c>
      <c r="AI55" s="96">
        <v>1</v>
      </c>
      <c r="AJ55" s="95">
        <v>0.14699999999999999</v>
      </c>
      <c r="AK55" s="95">
        <v>5.6000000000000001E-2</v>
      </c>
      <c r="AL55" s="96">
        <v>1.53</v>
      </c>
      <c r="AM55" s="96">
        <v>0.57999999999999996</v>
      </c>
      <c r="AN55" s="96">
        <v>2.73</v>
      </c>
      <c r="AO55" s="96">
        <v>0.51</v>
      </c>
      <c r="AP55" s="96">
        <v>0.51</v>
      </c>
      <c r="AQ55" s="96">
        <v>0.15</v>
      </c>
      <c r="AR55" s="96">
        <v>27.4</v>
      </c>
      <c r="AS55" s="93">
        <v>4.5999999999999996</v>
      </c>
      <c r="AT55" s="96">
        <v>9.3000000000000007</v>
      </c>
      <c r="AU55" s="96">
        <v>1</v>
      </c>
      <c r="AV55" s="99">
        <v>110</v>
      </c>
      <c r="AW55" s="98">
        <v>9.6999999999999993</v>
      </c>
      <c r="AX55" s="98">
        <v>43.4</v>
      </c>
      <c r="AY55" s="96">
        <v>5.2</v>
      </c>
      <c r="AZ55" s="98">
        <v>219</v>
      </c>
      <c r="BA55" s="98">
        <v>25</v>
      </c>
      <c r="BB55" s="98">
        <v>43.3</v>
      </c>
      <c r="BC55" s="93">
        <v>4.0999999999999996</v>
      </c>
      <c r="BD55" s="98">
        <v>367</v>
      </c>
      <c r="BE55" s="98">
        <v>35</v>
      </c>
      <c r="BF55" s="98">
        <v>72.3</v>
      </c>
      <c r="BG55" s="99">
        <v>8.6</v>
      </c>
      <c r="BI55" s="93">
        <v>6</v>
      </c>
      <c r="BJ55" s="98">
        <v>2.7</v>
      </c>
      <c r="BK55" s="98">
        <v>561000</v>
      </c>
      <c r="BL55" s="98">
        <v>54000</v>
      </c>
      <c r="BM55" s="98">
        <v>9250</v>
      </c>
      <c r="BN55" s="98">
        <v>880</v>
      </c>
      <c r="BO55" s="99">
        <v>63.5</v>
      </c>
      <c r="BP55" s="98">
        <v>6</v>
      </c>
      <c r="BQ55" s="99">
        <v>100.5</v>
      </c>
      <c r="BR55" s="98">
        <v>8.1</v>
      </c>
      <c r="BT55" s="95">
        <f t="shared" si="53"/>
        <v>0.27384196185286103</v>
      </c>
      <c r="BU55" s="96">
        <f t="shared" si="54"/>
        <v>4.2483660130718954</v>
      </c>
      <c r="BV55" s="96">
        <f t="shared" si="55"/>
        <v>60.648648648648646</v>
      </c>
      <c r="BW55" s="96">
        <f t="shared" si="56"/>
        <v>0.63184079601990051</v>
      </c>
      <c r="BX55" s="99">
        <f t="shared" si="57"/>
        <v>13.932987242287071</v>
      </c>
      <c r="BY55" s="96">
        <f t="shared" si="58"/>
        <v>4.2483660130718954</v>
      </c>
      <c r="BZ55" s="97">
        <f t="shared" si="59"/>
        <v>3.1469377874606633E-3</v>
      </c>
      <c r="CA55" s="95">
        <f t="shared" si="50"/>
        <v>0.1802757064518852</v>
      </c>
      <c r="CB55" s="99">
        <f t="shared" si="60"/>
        <v>164.47203062107596</v>
      </c>
      <c r="CC55" s="99">
        <f t="shared" si="60"/>
        <v>13.255954706773284</v>
      </c>
      <c r="CD55" s="100">
        <f t="shared" si="35"/>
        <v>725.20479179380322</v>
      </c>
      <c r="CE55" s="100">
        <f t="shared" si="51"/>
        <v>763.15997994127349</v>
      </c>
      <c r="CF55" s="100">
        <f t="shared" si="23"/>
        <v>45.786168618021513</v>
      </c>
      <c r="CG55" s="96">
        <f t="shared" si="61"/>
        <v>-0.44999110000863451</v>
      </c>
      <c r="CH55" s="96">
        <f t="shared" si="52"/>
        <v>0.53241392190030035</v>
      </c>
      <c r="CJ55" s="95">
        <f t="shared" si="62"/>
        <v>0.37552742616033757</v>
      </c>
      <c r="CK55" s="93">
        <f t="shared" si="63"/>
        <v>10.620915032679738</v>
      </c>
      <c r="CL55" s="93">
        <f t="shared" si="64"/>
        <v>1.5473684210526315</v>
      </c>
      <c r="CM55" s="93">
        <f t="shared" si="65"/>
        <v>3.2762312633832975</v>
      </c>
      <c r="CN55" s="93">
        <f t="shared" si="66"/>
        <v>17.843137254901961</v>
      </c>
      <c r="CO55" s="93">
        <f t="shared" si="67"/>
        <v>8.7931034482758612</v>
      </c>
      <c r="CP55" s="93">
        <f t="shared" si="68"/>
        <v>133.33333333333334</v>
      </c>
      <c r="CQ55" s="93">
        <f t="shared" si="69"/>
        <v>248.66310160427807</v>
      </c>
      <c r="CR55" s="93">
        <f t="shared" si="70"/>
        <v>433.07086614173227</v>
      </c>
      <c r="CS55" s="93">
        <f t="shared" si="71"/>
        <v>766.78445229681984</v>
      </c>
      <c r="CT55" s="93">
        <f t="shared" si="72"/>
        <v>1323.2628398791539</v>
      </c>
      <c r="CU55" s="93">
        <f t="shared" si="73"/>
        <v>1698.0392156862745</v>
      </c>
      <c r="CV55" s="93">
        <f t="shared" si="74"/>
        <v>2158.8235294117644</v>
      </c>
      <c r="CW55" s="93">
        <f t="shared" si="75"/>
        <v>2846.4566929133857</v>
      </c>
    </row>
    <row r="56" spans="1:101" s="98" customFormat="1">
      <c r="A56" s="3" t="s">
        <v>296</v>
      </c>
      <c r="B56" s="92" t="s">
        <v>244</v>
      </c>
      <c r="C56" s="3" t="s">
        <v>285</v>
      </c>
      <c r="D56" s="93">
        <v>11.004</v>
      </c>
      <c r="E56" s="94">
        <v>0.18914</v>
      </c>
      <c r="F56" s="94">
        <v>6.4999999999999997E-4</v>
      </c>
      <c r="G56" s="95">
        <v>13.726000000000001</v>
      </c>
      <c r="H56" s="96">
        <v>0.41</v>
      </c>
      <c r="I56" s="97">
        <v>0.52549999999999997</v>
      </c>
      <c r="J56" s="95">
        <v>1.4E-2</v>
      </c>
      <c r="K56" s="96">
        <v>0.88761999999999996</v>
      </c>
      <c r="M56" s="99">
        <v>2722</v>
      </c>
      <c r="N56" s="98">
        <v>61</v>
      </c>
      <c r="O56" s="99">
        <v>2735.4</v>
      </c>
      <c r="P56" s="98">
        <v>3</v>
      </c>
      <c r="Q56" s="93">
        <v>0.48</v>
      </c>
      <c r="R56" s="97">
        <v>2.7000000000000001E-3</v>
      </c>
      <c r="T56" s="98">
        <v>390</v>
      </c>
      <c r="U56" s="98">
        <v>150</v>
      </c>
      <c r="V56" s="98">
        <v>0.1</v>
      </c>
      <c r="W56" s="98">
        <v>1.3</v>
      </c>
      <c r="X56" s="98">
        <v>0.17</v>
      </c>
      <c r="Y56" s="98">
        <v>0.14000000000000001</v>
      </c>
      <c r="Z56" s="98">
        <v>3.5</v>
      </c>
      <c r="AA56" s="98">
        <v>1.2</v>
      </c>
      <c r="AB56" s="98">
        <v>0.86</v>
      </c>
      <c r="AC56" s="98">
        <v>0.33</v>
      </c>
      <c r="AD56" s="98">
        <v>2770</v>
      </c>
      <c r="AE56" s="98">
        <v>310</v>
      </c>
      <c r="AF56" s="95">
        <v>8.0000000000000002E-3</v>
      </c>
      <c r="AG56" s="97">
        <v>8.3000000000000001E-3</v>
      </c>
      <c r="AH56" s="96">
        <v>6.76</v>
      </c>
      <c r="AI56" s="96">
        <v>0.62</v>
      </c>
      <c r="AJ56" s="95">
        <v>0.27100000000000002</v>
      </c>
      <c r="AK56" s="95">
        <v>7.1999999999999995E-2</v>
      </c>
      <c r="AL56" s="96">
        <v>4.3499999999999996</v>
      </c>
      <c r="AM56" s="96">
        <v>0.72</v>
      </c>
      <c r="AN56" s="96">
        <v>8.3000000000000007</v>
      </c>
      <c r="AO56" s="96">
        <v>1.8</v>
      </c>
      <c r="AP56" s="96">
        <v>1</v>
      </c>
      <c r="AQ56" s="96">
        <v>0.28999999999999998</v>
      </c>
      <c r="AR56" s="96">
        <v>56.4</v>
      </c>
      <c r="AS56" s="93">
        <v>6.8</v>
      </c>
      <c r="AT56" s="96">
        <v>20.5</v>
      </c>
      <c r="AU56" s="96">
        <v>2.2000000000000002</v>
      </c>
      <c r="AV56" s="99">
        <v>232</v>
      </c>
      <c r="AW56" s="98">
        <v>21</v>
      </c>
      <c r="AX56" s="98">
        <v>85.6</v>
      </c>
      <c r="AY56" s="96">
        <v>6</v>
      </c>
      <c r="AZ56" s="98">
        <v>442</v>
      </c>
      <c r="BA56" s="98">
        <v>36</v>
      </c>
      <c r="BB56" s="98">
        <v>83.1</v>
      </c>
      <c r="BC56" s="93">
        <v>8.1999999999999993</v>
      </c>
      <c r="BD56" s="98">
        <v>712</v>
      </c>
      <c r="BE56" s="98">
        <v>67</v>
      </c>
      <c r="BF56" s="98">
        <v>134</v>
      </c>
      <c r="BG56" s="99">
        <v>13</v>
      </c>
      <c r="BI56" s="93">
        <v>4.0999999999999996</v>
      </c>
      <c r="BJ56" s="98">
        <v>2.1</v>
      </c>
      <c r="BK56" s="98">
        <v>561000</v>
      </c>
      <c r="BL56" s="98">
        <v>50000</v>
      </c>
      <c r="BM56" s="98">
        <v>10400</v>
      </c>
      <c r="BN56" s="98">
        <v>1000</v>
      </c>
      <c r="BO56" s="99">
        <v>109</v>
      </c>
      <c r="BP56" s="98">
        <v>8.1999999999999993</v>
      </c>
      <c r="BQ56" s="99">
        <v>151</v>
      </c>
      <c r="BR56" s="98">
        <v>11</v>
      </c>
      <c r="BT56" s="95">
        <f t="shared" si="53"/>
        <v>0.21207865168539325</v>
      </c>
      <c r="BU56" s="96">
        <f t="shared" si="54"/>
        <v>1.5540229885057473</v>
      </c>
      <c r="BV56" s="96">
        <f t="shared" si="55"/>
        <v>53.942307692307693</v>
      </c>
      <c r="BW56" s="96">
        <f t="shared" si="56"/>
        <v>0.72185430463576161</v>
      </c>
      <c r="BX56" s="99">
        <f t="shared" si="57"/>
        <v>35.596033802623197</v>
      </c>
      <c r="BY56" s="96">
        <f t="shared" si="58"/>
        <v>1.5540229885057473</v>
      </c>
      <c r="BZ56" s="97">
        <f t="shared" si="59"/>
        <v>5.6101912942445754E-4</v>
      </c>
      <c r="CA56" s="95">
        <f t="shared" si="50"/>
        <v>0.14130093537466334</v>
      </c>
      <c r="CB56" s="99">
        <f t="shared" si="60"/>
        <v>247.11718033614397</v>
      </c>
      <c r="CC56" s="99">
        <f t="shared" si="60"/>
        <v>18.001913799321745</v>
      </c>
      <c r="CD56" s="100">
        <f t="shared" si="35"/>
        <v>692.00830658480822</v>
      </c>
      <c r="CE56" s="100">
        <f t="shared" si="51"/>
        <v>727.43656310118683</v>
      </c>
      <c r="CF56" s="100">
        <f t="shared" si="23"/>
        <v>48.498475655491056</v>
      </c>
      <c r="CG56" s="96">
        <f t="shared" si="61"/>
        <v>-0.40485784249264434</v>
      </c>
      <c r="CH56" s="96">
        <f t="shared" si="52"/>
        <v>0.52806683518099273</v>
      </c>
      <c r="CJ56" s="95">
        <f t="shared" si="62"/>
        <v>3.375527426160338E-2</v>
      </c>
      <c r="CK56" s="93">
        <f t="shared" si="63"/>
        <v>11.045751633986928</v>
      </c>
      <c r="CL56" s="93">
        <f t="shared" si="64"/>
        <v>2.8526315789473684</v>
      </c>
      <c r="CM56" s="93">
        <f t="shared" si="65"/>
        <v>9.3147751605995701</v>
      </c>
      <c r="CN56" s="93">
        <f t="shared" si="66"/>
        <v>54.248366013071902</v>
      </c>
      <c r="CO56" s="93">
        <f t="shared" si="67"/>
        <v>17.241379310344826</v>
      </c>
      <c r="CP56" s="93">
        <f t="shared" si="68"/>
        <v>274.45255474452557</v>
      </c>
      <c r="CQ56" s="93">
        <f t="shared" si="69"/>
        <v>548.1283422459893</v>
      </c>
      <c r="CR56" s="93">
        <f t="shared" si="70"/>
        <v>913.38582677165357</v>
      </c>
      <c r="CS56" s="93">
        <f t="shared" si="71"/>
        <v>1512.3674911660778</v>
      </c>
      <c r="CT56" s="93">
        <f t="shared" si="72"/>
        <v>2670.6948640483383</v>
      </c>
      <c r="CU56" s="93">
        <f t="shared" si="73"/>
        <v>3258.8235294117649</v>
      </c>
      <c r="CV56" s="93">
        <f t="shared" si="74"/>
        <v>4188.2352941176468</v>
      </c>
      <c r="CW56" s="93">
        <f t="shared" si="75"/>
        <v>5275.5905511811025</v>
      </c>
    </row>
    <row r="57" spans="1:101" s="98" customFormat="1">
      <c r="A57" s="3" t="s">
        <v>297</v>
      </c>
      <c r="B57" s="92" t="s">
        <v>244</v>
      </c>
      <c r="C57" s="3"/>
      <c r="D57" s="93">
        <v>11.233000000000001</v>
      </c>
      <c r="E57" s="94">
        <v>0.18931999999999999</v>
      </c>
      <c r="F57" s="94">
        <v>6.8999999999999997E-4</v>
      </c>
      <c r="G57" s="95">
        <v>13.93</v>
      </c>
      <c r="H57" s="96">
        <v>0.42</v>
      </c>
      <c r="I57" s="97">
        <v>0.53320000000000001</v>
      </c>
      <c r="J57" s="95">
        <v>1.4999999999999999E-2</v>
      </c>
      <c r="K57" s="96">
        <v>0.92842999999999998</v>
      </c>
      <c r="M57" s="99">
        <v>2755</v>
      </c>
      <c r="N57" s="98">
        <v>62</v>
      </c>
      <c r="O57" s="99">
        <v>2736.2</v>
      </c>
      <c r="P57" s="98">
        <v>2.5</v>
      </c>
      <c r="Q57" s="93">
        <v>-0.67</v>
      </c>
      <c r="R57" s="97">
        <v>1.34E-3</v>
      </c>
      <c r="T57" s="98">
        <v>260</v>
      </c>
      <c r="U57" s="98">
        <v>120</v>
      </c>
      <c r="V57" s="98">
        <v>0.11</v>
      </c>
      <c r="W57" s="98">
        <v>0.95</v>
      </c>
      <c r="X57" s="98">
        <v>0.41</v>
      </c>
      <c r="Y57" s="98">
        <v>0.23</v>
      </c>
      <c r="Z57" s="98">
        <v>4.3899999999999997</v>
      </c>
      <c r="AA57" s="98">
        <v>0.99</v>
      </c>
      <c r="AB57" s="98">
        <v>1.91</v>
      </c>
      <c r="AC57" s="98">
        <v>0.59</v>
      </c>
      <c r="AD57" s="98">
        <v>2690</v>
      </c>
      <c r="AE57" s="98">
        <v>240</v>
      </c>
      <c r="AF57" s="95">
        <v>0.05</v>
      </c>
      <c r="AG57" s="97">
        <v>2.4E-2</v>
      </c>
      <c r="AH57" s="96">
        <v>11.1</v>
      </c>
      <c r="AI57" s="96">
        <v>1.7</v>
      </c>
      <c r="AJ57" s="95">
        <v>0.224</v>
      </c>
      <c r="AK57" s="95">
        <v>0.05</v>
      </c>
      <c r="AL57" s="96">
        <v>3.96</v>
      </c>
      <c r="AM57" s="96">
        <v>0.88</v>
      </c>
      <c r="AN57" s="96">
        <v>7.6</v>
      </c>
      <c r="AO57" s="96">
        <v>1.7</v>
      </c>
      <c r="AP57" s="96">
        <v>0.72</v>
      </c>
      <c r="AQ57" s="96">
        <v>0.25</v>
      </c>
      <c r="AR57" s="96">
        <v>56.1</v>
      </c>
      <c r="AS57" s="93">
        <v>7.5</v>
      </c>
      <c r="AT57" s="96">
        <v>19.2</v>
      </c>
      <c r="AU57" s="96">
        <v>1.9</v>
      </c>
      <c r="AV57" s="99">
        <v>246</v>
      </c>
      <c r="AW57" s="98">
        <v>23</v>
      </c>
      <c r="AX57" s="98">
        <v>90.3</v>
      </c>
      <c r="AY57" s="96">
        <v>8.1999999999999993</v>
      </c>
      <c r="AZ57" s="98">
        <v>432</v>
      </c>
      <c r="BA57" s="98">
        <v>39</v>
      </c>
      <c r="BB57" s="98">
        <v>81</v>
      </c>
      <c r="BC57" s="93">
        <v>8.6999999999999993</v>
      </c>
      <c r="BD57" s="98">
        <v>644</v>
      </c>
      <c r="BE57" s="98">
        <v>45</v>
      </c>
      <c r="BF57" s="98">
        <v>130</v>
      </c>
      <c r="BG57" s="99">
        <v>15</v>
      </c>
      <c r="BI57" s="93">
        <v>7</v>
      </c>
      <c r="BJ57" s="98">
        <v>3</v>
      </c>
      <c r="BK57" s="98">
        <v>579000</v>
      </c>
      <c r="BL57" s="98">
        <v>55000</v>
      </c>
      <c r="BM57" s="98">
        <v>10700</v>
      </c>
      <c r="BN57" s="98">
        <v>1200</v>
      </c>
      <c r="BO57" s="99">
        <v>133.80000000000001</v>
      </c>
      <c r="BP57" s="98">
        <v>9.1</v>
      </c>
      <c r="BQ57" s="99">
        <v>184</v>
      </c>
      <c r="BR57" s="98">
        <v>13</v>
      </c>
      <c r="BT57" s="95">
        <f t="shared" si="53"/>
        <v>0.2857142857142857</v>
      </c>
      <c r="BU57" s="96">
        <f t="shared" si="54"/>
        <v>2.8030303030303028</v>
      </c>
      <c r="BV57" s="96">
        <f t="shared" si="55"/>
        <v>54.112149532710283</v>
      </c>
      <c r="BW57" s="96">
        <f t="shared" si="56"/>
        <v>0.72717391304347834</v>
      </c>
      <c r="BX57" s="99">
        <f t="shared" si="57"/>
        <v>25.715710085490954</v>
      </c>
      <c r="BY57" s="96">
        <f t="shared" si="58"/>
        <v>2.8030303030303028</v>
      </c>
      <c r="BZ57" s="97">
        <f t="shared" si="59"/>
        <v>1.0420187000112649E-3</v>
      </c>
      <c r="CA57" s="95">
        <f t="shared" si="50"/>
        <v>0.10660262638834332</v>
      </c>
      <c r="CB57" s="99">
        <f t="shared" si="60"/>
        <v>301.12292173410918</v>
      </c>
      <c r="CC57" s="99">
        <f t="shared" si="60"/>
        <v>21.274989035562065</v>
      </c>
      <c r="CD57" s="100">
        <f t="shared" si="35"/>
        <v>739.30248567452486</v>
      </c>
      <c r="CE57" s="100">
        <f t="shared" si="51"/>
        <v>778.35813374744305</v>
      </c>
      <c r="CF57" s="100">
        <f t="shared" si="23"/>
        <v>44.92823301586462</v>
      </c>
      <c r="CG57" s="96">
        <f t="shared" si="61"/>
        <v>-0.18022581666773085</v>
      </c>
      <c r="CH57" s="96">
        <f t="shared" si="52"/>
        <v>0.5154012080883803</v>
      </c>
      <c r="CJ57" s="95">
        <f t="shared" si="62"/>
        <v>0.21097046413502113</v>
      </c>
      <c r="CK57" s="93">
        <f t="shared" si="63"/>
        <v>18.137254901960784</v>
      </c>
      <c r="CL57" s="93">
        <f t="shared" si="64"/>
        <v>2.3578947368421055</v>
      </c>
      <c r="CM57" s="93">
        <f t="shared" si="65"/>
        <v>8.4796573875802999</v>
      </c>
      <c r="CN57" s="93">
        <f t="shared" si="66"/>
        <v>49.673202614379086</v>
      </c>
      <c r="CO57" s="93">
        <f t="shared" si="67"/>
        <v>12.413793103448274</v>
      </c>
      <c r="CP57" s="93">
        <f t="shared" si="68"/>
        <v>272.99270072992704</v>
      </c>
      <c r="CQ57" s="93">
        <f t="shared" si="69"/>
        <v>513.36898395721914</v>
      </c>
      <c r="CR57" s="93">
        <f t="shared" si="70"/>
        <v>968.50393700787401</v>
      </c>
      <c r="CS57" s="93">
        <f t="shared" si="71"/>
        <v>1595.4063604240282</v>
      </c>
      <c r="CT57" s="93">
        <f t="shared" si="72"/>
        <v>2610.2719033232629</v>
      </c>
      <c r="CU57" s="93">
        <f t="shared" si="73"/>
        <v>3176.4705882352941</v>
      </c>
      <c r="CV57" s="93">
        <f t="shared" si="74"/>
        <v>3788.2352941176468</v>
      </c>
      <c r="CW57" s="93">
        <f t="shared" si="75"/>
        <v>5118.1102362204729</v>
      </c>
    </row>
    <row r="58" spans="1:101" s="98" customFormat="1">
      <c r="A58" s="3" t="s">
        <v>298</v>
      </c>
      <c r="B58" s="92" t="s">
        <v>244</v>
      </c>
      <c r="C58" s="3" t="s">
        <v>285</v>
      </c>
      <c r="D58" s="93">
        <v>11.013</v>
      </c>
      <c r="E58" s="94">
        <v>0.18944</v>
      </c>
      <c r="F58" s="94">
        <v>8.8000000000000003E-4</v>
      </c>
      <c r="G58" s="95">
        <v>13.685</v>
      </c>
      <c r="H58" s="96">
        <v>0.4</v>
      </c>
      <c r="I58" s="97">
        <v>0.52359999999999995</v>
      </c>
      <c r="J58" s="95">
        <v>1.4E-2</v>
      </c>
      <c r="K58" s="96">
        <v>0.77671999999999997</v>
      </c>
      <c r="M58" s="99">
        <v>2714.4</v>
      </c>
      <c r="N58" s="98">
        <v>60</v>
      </c>
      <c r="O58" s="99">
        <v>2737.3</v>
      </c>
      <c r="P58" s="98">
        <v>4.2</v>
      </c>
      <c r="Q58" s="93">
        <v>0.84</v>
      </c>
      <c r="R58" s="97">
        <v>3.5999999999999999E-3</v>
      </c>
      <c r="T58" s="98">
        <v>300</v>
      </c>
      <c r="U58" s="98">
        <v>94</v>
      </c>
      <c r="V58" s="98">
        <v>0.7</v>
      </c>
      <c r="W58" s="98">
        <v>1.1000000000000001</v>
      </c>
      <c r="X58" s="98">
        <v>0.21</v>
      </c>
      <c r="Y58" s="98">
        <v>0.18</v>
      </c>
      <c r="Z58" s="98">
        <v>4.07</v>
      </c>
      <c r="AA58" s="98">
        <v>0.8</v>
      </c>
      <c r="AB58" s="98">
        <v>1.08</v>
      </c>
      <c r="AC58" s="98">
        <v>0.49</v>
      </c>
      <c r="AD58" s="98">
        <v>1310</v>
      </c>
      <c r="AE58" s="98">
        <v>120</v>
      </c>
      <c r="AF58" s="95">
        <v>1.4E-3</v>
      </c>
      <c r="AG58" s="97">
        <v>4.4999999999999997E-3</v>
      </c>
      <c r="AH58" s="96">
        <v>6.77</v>
      </c>
      <c r="AI58" s="96">
        <v>0.85</v>
      </c>
      <c r="AJ58" s="95">
        <v>8.8999999999999996E-2</v>
      </c>
      <c r="AK58" s="95">
        <v>3.1E-2</v>
      </c>
      <c r="AL58" s="96">
        <v>1.32</v>
      </c>
      <c r="AM58" s="96">
        <v>0.52</v>
      </c>
      <c r="AN58" s="96">
        <v>3.9</v>
      </c>
      <c r="AO58" s="96">
        <v>1.3</v>
      </c>
      <c r="AP58" s="96">
        <v>0.51</v>
      </c>
      <c r="AQ58" s="96">
        <v>0.19</v>
      </c>
      <c r="AR58" s="96">
        <v>24.7</v>
      </c>
      <c r="AS58" s="93">
        <v>3.7</v>
      </c>
      <c r="AT58" s="96">
        <v>8.31</v>
      </c>
      <c r="AU58" s="96">
        <v>0.8</v>
      </c>
      <c r="AV58" s="99">
        <v>110.2</v>
      </c>
      <c r="AW58" s="98">
        <v>9.5</v>
      </c>
      <c r="AX58" s="98">
        <v>42.1</v>
      </c>
      <c r="AY58" s="96">
        <v>3.1</v>
      </c>
      <c r="AZ58" s="98">
        <v>205</v>
      </c>
      <c r="BA58" s="98">
        <v>17</v>
      </c>
      <c r="BB58" s="98">
        <v>42.2</v>
      </c>
      <c r="BC58" s="93">
        <v>3.7</v>
      </c>
      <c r="BD58" s="98">
        <v>360</v>
      </c>
      <c r="BE58" s="98">
        <v>31</v>
      </c>
      <c r="BF58" s="98">
        <v>70.3</v>
      </c>
      <c r="BG58" s="99">
        <v>8</v>
      </c>
      <c r="BI58" s="93">
        <v>7.8</v>
      </c>
      <c r="BJ58" s="98">
        <v>3.3</v>
      </c>
      <c r="BK58" s="98">
        <v>553000</v>
      </c>
      <c r="BL58" s="98">
        <v>57000</v>
      </c>
      <c r="BM58" s="98">
        <v>9970</v>
      </c>
      <c r="BN58" s="98">
        <v>970</v>
      </c>
      <c r="BO58" s="99">
        <v>61.1</v>
      </c>
      <c r="BP58" s="98">
        <v>4</v>
      </c>
      <c r="BQ58" s="99">
        <v>101</v>
      </c>
      <c r="BR58" s="98">
        <v>6.8</v>
      </c>
      <c r="BT58" s="95">
        <f t="shared" si="53"/>
        <v>0.28055555555555556</v>
      </c>
      <c r="BU58" s="96">
        <f t="shared" si="54"/>
        <v>5.128787878787878</v>
      </c>
      <c r="BV58" s="96">
        <f t="shared" si="55"/>
        <v>55.466399197592779</v>
      </c>
      <c r="BW58" s="96">
        <f t="shared" si="56"/>
        <v>0.60495049504950493</v>
      </c>
      <c r="BX58" s="99">
        <f t="shared" si="57"/>
        <v>148.70110679592096</v>
      </c>
      <c r="BY58" s="96">
        <f t="shared" si="58"/>
        <v>5.128787878787878</v>
      </c>
      <c r="BZ58" s="97">
        <f t="shared" si="59"/>
        <v>3.9151052509831131E-3</v>
      </c>
      <c r="CA58" s="95">
        <f t="shared" si="50"/>
        <v>0.15885944132953125</v>
      </c>
      <c r="CB58" s="99">
        <f t="shared" si="60"/>
        <v>165.29029943013603</v>
      </c>
      <c r="CC58" s="99">
        <f t="shared" si="60"/>
        <v>11.128455803217079</v>
      </c>
      <c r="CD58" s="100">
        <f t="shared" si="35"/>
        <v>749.43928257554785</v>
      </c>
      <c r="CE58" s="100">
        <f t="shared" si="51"/>
        <v>789.29629903952298</v>
      </c>
      <c r="CF58" s="100">
        <f t="shared" si="23"/>
        <v>45.242747977851238</v>
      </c>
      <c r="CG58" s="96">
        <f t="shared" si="61"/>
        <v>-0.61108344030418094</v>
      </c>
      <c r="CH58" s="96">
        <f t="shared" si="52"/>
        <v>0.4647722344084555</v>
      </c>
      <c r="CJ58" s="95">
        <f t="shared" si="62"/>
        <v>5.9071729957805913E-3</v>
      </c>
      <c r="CK58" s="93">
        <f t="shared" si="63"/>
        <v>11.062091503267974</v>
      </c>
      <c r="CL58" s="93">
        <f t="shared" si="64"/>
        <v>0.93684210526315781</v>
      </c>
      <c r="CM58" s="93">
        <f t="shared" si="65"/>
        <v>2.8265524625267666</v>
      </c>
      <c r="CN58" s="93">
        <f t="shared" si="66"/>
        <v>25.490196078431371</v>
      </c>
      <c r="CO58" s="93">
        <f t="shared" si="67"/>
        <v>8.7931034482758612</v>
      </c>
      <c r="CP58" s="93">
        <f t="shared" si="68"/>
        <v>120.19464720194648</v>
      </c>
      <c r="CQ58" s="93">
        <f t="shared" si="69"/>
        <v>222.19251336898395</v>
      </c>
      <c r="CR58" s="93">
        <f t="shared" si="70"/>
        <v>433.85826771653547</v>
      </c>
      <c r="CS58" s="93">
        <f t="shared" si="71"/>
        <v>743.81625441696121</v>
      </c>
      <c r="CT58" s="93">
        <f t="shared" si="72"/>
        <v>1238.6706948640483</v>
      </c>
      <c r="CU58" s="93">
        <f t="shared" si="73"/>
        <v>1654.901960784314</v>
      </c>
      <c r="CV58" s="93">
        <f t="shared" si="74"/>
        <v>2117.6470588235293</v>
      </c>
      <c r="CW58" s="93">
        <f t="shared" si="75"/>
        <v>2767.7165354330709</v>
      </c>
    </row>
    <row r="59" spans="1:101" s="98" customFormat="1">
      <c r="A59" s="3" t="s">
        <v>299</v>
      </c>
      <c r="B59" s="92" t="s">
        <v>244</v>
      </c>
      <c r="C59" s="3" t="s">
        <v>285</v>
      </c>
      <c r="D59" s="93">
        <v>11.013999999999999</v>
      </c>
      <c r="E59" s="94">
        <v>0.18969</v>
      </c>
      <c r="F59" s="94">
        <v>7.2000000000000005E-4</v>
      </c>
      <c r="G59" s="95">
        <v>13.858000000000001</v>
      </c>
      <c r="H59" s="96">
        <v>0.41</v>
      </c>
      <c r="I59" s="97">
        <v>0.52959999999999996</v>
      </c>
      <c r="J59" s="95">
        <v>1.4E-2</v>
      </c>
      <c r="K59" s="96">
        <v>0.86404000000000003</v>
      </c>
      <c r="M59" s="99">
        <v>2740</v>
      </c>
      <c r="N59" s="98">
        <v>61</v>
      </c>
      <c r="O59" s="99">
        <v>2739.3</v>
      </c>
      <c r="P59" s="98">
        <v>3.4</v>
      </c>
      <c r="Q59" s="93">
        <v>-0.02</v>
      </c>
      <c r="R59" s="97">
        <v>2.0200000000000001E-3</v>
      </c>
      <c r="T59" s="98">
        <v>310</v>
      </c>
      <c r="U59" s="98">
        <v>130</v>
      </c>
      <c r="V59" s="98" t="s">
        <v>250</v>
      </c>
      <c r="W59" s="98" t="s">
        <v>250</v>
      </c>
      <c r="X59" s="98">
        <v>0.43</v>
      </c>
      <c r="Y59" s="98">
        <v>0.24</v>
      </c>
      <c r="Z59" s="98">
        <v>1.91</v>
      </c>
      <c r="AA59" s="98">
        <v>0.46</v>
      </c>
      <c r="AB59" s="98">
        <v>0.77</v>
      </c>
      <c r="AC59" s="98">
        <v>0.26</v>
      </c>
      <c r="AD59" s="98">
        <v>2320</v>
      </c>
      <c r="AE59" s="98">
        <v>270</v>
      </c>
      <c r="AF59" s="95">
        <v>6.3E-3</v>
      </c>
      <c r="AG59" s="97">
        <v>8.0999999999999996E-3</v>
      </c>
      <c r="AH59" s="96">
        <v>5.37</v>
      </c>
      <c r="AI59" s="96">
        <v>0.97</v>
      </c>
      <c r="AJ59" s="95">
        <v>0.17799999999999999</v>
      </c>
      <c r="AK59" s="95">
        <v>4.9000000000000002E-2</v>
      </c>
      <c r="AL59" s="96">
        <v>4.4000000000000004</v>
      </c>
      <c r="AM59" s="96">
        <v>1.1000000000000001</v>
      </c>
      <c r="AN59" s="96">
        <v>8.1999999999999993</v>
      </c>
      <c r="AO59" s="96">
        <v>1.5</v>
      </c>
      <c r="AP59" s="96">
        <v>1.1499999999999999</v>
      </c>
      <c r="AQ59" s="96">
        <v>0.32</v>
      </c>
      <c r="AR59" s="96">
        <v>57.6</v>
      </c>
      <c r="AS59" s="93">
        <v>7.8</v>
      </c>
      <c r="AT59" s="96">
        <v>17.399999999999999</v>
      </c>
      <c r="AU59" s="96">
        <v>1.5</v>
      </c>
      <c r="AV59" s="99">
        <v>229</v>
      </c>
      <c r="AW59" s="98">
        <v>21</v>
      </c>
      <c r="AX59" s="98">
        <v>82.5</v>
      </c>
      <c r="AY59" s="96">
        <v>7</v>
      </c>
      <c r="AZ59" s="98">
        <v>368</v>
      </c>
      <c r="BA59" s="98">
        <v>26</v>
      </c>
      <c r="BB59" s="98">
        <v>69.3</v>
      </c>
      <c r="BC59" s="93">
        <v>6</v>
      </c>
      <c r="BD59" s="98">
        <v>619</v>
      </c>
      <c r="BE59" s="98">
        <v>62</v>
      </c>
      <c r="BF59" s="98">
        <v>117</v>
      </c>
      <c r="BG59" s="99">
        <v>13</v>
      </c>
      <c r="BI59" s="93">
        <v>4.4000000000000004</v>
      </c>
      <c r="BJ59" s="98">
        <v>1.7</v>
      </c>
      <c r="BK59" s="98">
        <v>600000</v>
      </c>
      <c r="BL59" s="98">
        <v>72000</v>
      </c>
      <c r="BM59" s="98">
        <v>10100</v>
      </c>
      <c r="BN59" s="98">
        <v>1100</v>
      </c>
      <c r="BO59" s="99">
        <v>74.7</v>
      </c>
      <c r="BP59" s="98">
        <v>6.3</v>
      </c>
      <c r="BQ59" s="99">
        <v>105.4</v>
      </c>
      <c r="BR59" s="98">
        <v>8.8000000000000007</v>
      </c>
      <c r="BT59" s="95">
        <f t="shared" si="53"/>
        <v>0.17027463651050082</v>
      </c>
      <c r="BU59" s="96">
        <f t="shared" si="54"/>
        <v>1.2204545454545455</v>
      </c>
      <c r="BV59" s="96">
        <f t="shared" si="55"/>
        <v>59.405940594059409</v>
      </c>
      <c r="BW59" s="96">
        <f t="shared" si="56"/>
        <v>0.70872865275142316</v>
      </c>
      <c r="BX59" s="99">
        <f t="shared" si="57"/>
        <v>39.316836213397124</v>
      </c>
      <c r="BY59" s="96">
        <f t="shared" si="58"/>
        <v>1.2204545454545455</v>
      </c>
      <c r="BZ59" s="97">
        <f t="shared" si="59"/>
        <v>5.2605799373040755E-4</v>
      </c>
      <c r="CA59" s="95">
        <f t="shared" si="50"/>
        <v>0.16177198236560486</v>
      </c>
      <c r="CB59" s="99">
        <f t="shared" si="60"/>
        <v>172.49106494986475</v>
      </c>
      <c r="CC59" s="99">
        <f t="shared" si="60"/>
        <v>14.401531039457398</v>
      </c>
      <c r="CD59" s="100">
        <f t="shared" si="35"/>
        <v>697.99710088852146</v>
      </c>
      <c r="CE59" s="100">
        <f t="shared" si="51"/>
        <v>733.87455689283581</v>
      </c>
      <c r="CF59" s="100">
        <f t="shared" si="23"/>
        <v>37.697727443776301</v>
      </c>
      <c r="CG59" s="96">
        <f t="shared" si="61"/>
        <v>-0.55344006364141674</v>
      </c>
      <c r="CH59" s="96">
        <f t="shared" si="52"/>
        <v>0.51480790654635888</v>
      </c>
      <c r="CJ59" s="95">
        <f t="shared" si="62"/>
        <v>2.6582278481012661E-2</v>
      </c>
      <c r="CK59" s="93">
        <f t="shared" si="63"/>
        <v>8.7745098039215694</v>
      </c>
      <c r="CL59" s="93">
        <f t="shared" si="64"/>
        <v>1.8736842105263156</v>
      </c>
      <c r="CM59" s="93">
        <f t="shared" si="65"/>
        <v>9.4218415417558887</v>
      </c>
      <c r="CN59" s="93">
        <f t="shared" si="66"/>
        <v>53.59477124183006</v>
      </c>
      <c r="CO59" s="93">
        <f t="shared" si="67"/>
        <v>19.827586206896548</v>
      </c>
      <c r="CP59" s="93">
        <f t="shared" si="68"/>
        <v>280.29197080291971</v>
      </c>
      <c r="CQ59" s="93">
        <f t="shared" si="69"/>
        <v>465.2406417112299</v>
      </c>
      <c r="CR59" s="93">
        <f t="shared" si="70"/>
        <v>901.57480314960628</v>
      </c>
      <c r="CS59" s="93">
        <f t="shared" si="71"/>
        <v>1457.5971731448765</v>
      </c>
      <c r="CT59" s="93">
        <f t="shared" si="72"/>
        <v>2223.5649546827794</v>
      </c>
      <c r="CU59" s="93">
        <f t="shared" si="73"/>
        <v>2717.6470588235293</v>
      </c>
      <c r="CV59" s="93">
        <f t="shared" si="74"/>
        <v>3641.1764705882351</v>
      </c>
      <c r="CW59" s="93">
        <f t="shared" si="75"/>
        <v>4606.2992125984256</v>
      </c>
    </row>
    <row r="60" spans="1:101" s="118" customFormat="1">
      <c r="A60" s="111" t="s">
        <v>300</v>
      </c>
      <c r="B60" s="112" t="s">
        <v>244</v>
      </c>
      <c r="C60" s="111" t="s">
        <v>285</v>
      </c>
      <c r="D60" s="113">
        <v>11.018000000000001</v>
      </c>
      <c r="E60" s="114">
        <v>0.18947</v>
      </c>
      <c r="F60" s="114">
        <v>8.7000000000000001E-4</v>
      </c>
      <c r="G60" s="115">
        <v>13.542999999999999</v>
      </c>
      <c r="H60" s="116">
        <v>0.4</v>
      </c>
      <c r="I60" s="117">
        <v>0.51819999999999999</v>
      </c>
      <c r="J60" s="117">
        <v>1.4E-2</v>
      </c>
      <c r="K60" s="116">
        <v>0.81120000000000003</v>
      </c>
      <c r="M60" s="119">
        <v>2692</v>
      </c>
      <c r="N60" s="118">
        <v>61</v>
      </c>
      <c r="O60" s="119">
        <v>2737.6</v>
      </c>
      <c r="P60" s="118">
        <v>3.5</v>
      </c>
      <c r="Q60" s="113">
        <v>1.68</v>
      </c>
      <c r="R60" s="117">
        <v>6.3E-3</v>
      </c>
      <c r="T60" s="121">
        <v>8500</v>
      </c>
      <c r="U60" s="121">
        <v>1100</v>
      </c>
      <c r="V60" s="118">
        <v>0.4</v>
      </c>
      <c r="W60" s="118">
        <v>1.1000000000000001</v>
      </c>
      <c r="X60" s="118">
        <v>7.9</v>
      </c>
      <c r="Y60" s="118">
        <v>1.4</v>
      </c>
      <c r="Z60" s="118">
        <v>1.78</v>
      </c>
      <c r="AA60" s="118">
        <v>0.41</v>
      </c>
      <c r="AB60" s="118">
        <v>0.98</v>
      </c>
      <c r="AC60" s="118">
        <v>0.34</v>
      </c>
      <c r="AD60" s="118">
        <v>2630</v>
      </c>
      <c r="AE60" s="118">
        <v>300</v>
      </c>
      <c r="AF60" s="115">
        <v>55.8</v>
      </c>
      <c r="AG60" s="117">
        <v>9.5</v>
      </c>
      <c r="AH60" s="116">
        <v>159</v>
      </c>
      <c r="AI60" s="116">
        <v>29</v>
      </c>
      <c r="AJ60" s="115">
        <v>22.9</v>
      </c>
      <c r="AK60" s="115">
        <v>3.6</v>
      </c>
      <c r="AL60" s="116">
        <v>121</v>
      </c>
      <c r="AM60" s="116">
        <v>17</v>
      </c>
      <c r="AN60" s="116">
        <v>38.9</v>
      </c>
      <c r="AO60" s="116">
        <v>5.7</v>
      </c>
      <c r="AP60" s="116">
        <v>2.23</v>
      </c>
      <c r="AQ60" s="116">
        <v>0.42</v>
      </c>
      <c r="AR60" s="116">
        <v>92</v>
      </c>
      <c r="AS60" s="113">
        <v>11</v>
      </c>
      <c r="AT60" s="116">
        <v>24</v>
      </c>
      <c r="AU60" s="116">
        <v>2.7</v>
      </c>
      <c r="AV60" s="119">
        <v>258</v>
      </c>
      <c r="AW60" s="118">
        <v>24</v>
      </c>
      <c r="AX60" s="118">
        <v>90</v>
      </c>
      <c r="AY60" s="113">
        <v>12</v>
      </c>
      <c r="AZ60" s="118">
        <v>396</v>
      </c>
      <c r="BA60" s="118">
        <v>45</v>
      </c>
      <c r="BB60" s="118">
        <v>76</v>
      </c>
      <c r="BC60" s="113">
        <v>10</v>
      </c>
      <c r="BD60" s="118">
        <v>648</v>
      </c>
      <c r="BE60" s="118">
        <v>72</v>
      </c>
      <c r="BF60" s="118">
        <v>122</v>
      </c>
      <c r="BG60" s="118">
        <v>14</v>
      </c>
      <c r="BI60" s="113">
        <v>7.1</v>
      </c>
      <c r="BJ60" s="118">
        <v>2.7</v>
      </c>
      <c r="BK60" s="118">
        <v>545000</v>
      </c>
      <c r="BL60" s="118">
        <v>61000</v>
      </c>
      <c r="BM60" s="118">
        <v>9390</v>
      </c>
      <c r="BN60" s="118">
        <v>960</v>
      </c>
      <c r="BO60" s="119">
        <v>98</v>
      </c>
      <c r="BP60" s="118">
        <v>10</v>
      </c>
      <c r="BQ60" s="119">
        <v>118</v>
      </c>
      <c r="BR60" s="118">
        <v>12</v>
      </c>
      <c r="CB60" s="119"/>
      <c r="CC60" s="119"/>
      <c r="CD60" s="120"/>
      <c r="CE60" s="100"/>
      <c r="CF60" s="100"/>
      <c r="CG60" s="116"/>
      <c r="CH60" s="96"/>
    </row>
    <row r="61" spans="1:101" s="98" customFormat="1">
      <c r="A61" s="3" t="s">
        <v>301</v>
      </c>
      <c r="B61" s="92" t="s">
        <v>244</v>
      </c>
      <c r="C61" s="3" t="s">
        <v>285</v>
      </c>
      <c r="D61" s="93">
        <v>11.041</v>
      </c>
      <c r="E61" s="94">
        <v>0.18908</v>
      </c>
      <c r="F61" s="94">
        <v>7.5000000000000002E-4</v>
      </c>
      <c r="G61" s="95">
        <v>13.87</v>
      </c>
      <c r="H61" s="96">
        <v>0.41</v>
      </c>
      <c r="I61" s="97">
        <v>0.53200000000000003</v>
      </c>
      <c r="J61" s="95">
        <v>1.4999999999999999E-2</v>
      </c>
      <c r="K61" s="96">
        <v>0.89607000000000003</v>
      </c>
      <c r="M61" s="99">
        <v>2750</v>
      </c>
      <c r="N61" s="98">
        <v>62</v>
      </c>
      <c r="O61" s="99">
        <v>2734</v>
      </c>
      <c r="P61" s="98">
        <v>3.4</v>
      </c>
      <c r="Q61" s="93">
        <v>-0.57999999999999996</v>
      </c>
      <c r="R61" s="97">
        <v>1.9E-3</v>
      </c>
      <c r="T61" s="98">
        <v>225</v>
      </c>
      <c r="U61" s="98">
        <v>91</v>
      </c>
      <c r="V61" s="98">
        <v>1</v>
      </c>
      <c r="W61" s="98">
        <v>1.3</v>
      </c>
      <c r="X61" s="98">
        <v>0.99</v>
      </c>
      <c r="Y61" s="98">
        <v>0.51</v>
      </c>
      <c r="Z61" s="98">
        <v>3</v>
      </c>
      <c r="AA61" s="98">
        <v>0.61</v>
      </c>
      <c r="AB61" s="98">
        <v>1.28</v>
      </c>
      <c r="AC61" s="98">
        <v>0.39</v>
      </c>
      <c r="AD61" s="98">
        <v>2450</v>
      </c>
      <c r="AE61" s="98">
        <v>210</v>
      </c>
      <c r="AF61" s="95">
        <v>5.1000000000000004E-3</v>
      </c>
      <c r="AG61" s="97">
        <v>6.6E-3</v>
      </c>
      <c r="AH61" s="96">
        <v>5.57</v>
      </c>
      <c r="AI61" s="96">
        <v>0.91</v>
      </c>
      <c r="AJ61" s="95">
        <v>0.20300000000000001</v>
      </c>
      <c r="AK61" s="95">
        <v>6.3E-2</v>
      </c>
      <c r="AL61" s="96">
        <v>4.2</v>
      </c>
      <c r="AM61" s="96">
        <v>1</v>
      </c>
      <c r="AN61" s="96">
        <v>8.8000000000000007</v>
      </c>
      <c r="AO61" s="96">
        <v>1.5</v>
      </c>
      <c r="AP61" s="96">
        <v>0.99</v>
      </c>
      <c r="AQ61" s="96">
        <v>0.28999999999999998</v>
      </c>
      <c r="AR61" s="96">
        <v>55.4</v>
      </c>
      <c r="AS61" s="93">
        <v>5.5</v>
      </c>
      <c r="AT61" s="96">
        <v>18.7</v>
      </c>
      <c r="AU61" s="96">
        <v>1.8</v>
      </c>
      <c r="AV61" s="99">
        <v>231</v>
      </c>
      <c r="AW61" s="98">
        <v>18</v>
      </c>
      <c r="AX61" s="98">
        <v>85.2</v>
      </c>
      <c r="AY61" s="96">
        <v>7.2</v>
      </c>
      <c r="AZ61" s="98">
        <v>399</v>
      </c>
      <c r="BA61" s="98">
        <v>36</v>
      </c>
      <c r="BB61" s="98">
        <v>77.3</v>
      </c>
      <c r="BC61" s="93">
        <v>6.2</v>
      </c>
      <c r="BD61" s="98">
        <v>634</v>
      </c>
      <c r="BE61" s="98">
        <v>57</v>
      </c>
      <c r="BF61" s="98">
        <v>124</v>
      </c>
      <c r="BG61" s="99">
        <v>10</v>
      </c>
      <c r="BI61" s="93">
        <v>6</v>
      </c>
      <c r="BJ61" s="98">
        <v>2</v>
      </c>
      <c r="BK61" s="98">
        <v>551000</v>
      </c>
      <c r="BL61" s="98">
        <v>50000</v>
      </c>
      <c r="BM61" s="98">
        <v>9830</v>
      </c>
      <c r="BN61" s="98">
        <v>830</v>
      </c>
      <c r="BO61" s="99">
        <v>89.5</v>
      </c>
      <c r="BP61" s="98">
        <v>6.5</v>
      </c>
      <c r="BQ61" s="99">
        <v>126.2</v>
      </c>
      <c r="BR61" s="98">
        <v>8.6</v>
      </c>
      <c r="BT61" s="95">
        <f t="shared" ref="BT61:BT67" si="76">BQ61/BD61</f>
        <v>0.19905362776025237</v>
      </c>
      <c r="BU61" s="96">
        <f t="shared" ref="BU61:BU67" si="77">AH61/AL61</f>
        <v>1.3261904761904761</v>
      </c>
      <c r="BV61" s="96">
        <f t="shared" ref="BV61:BV67" si="78">BK61/BM61</f>
        <v>56.052899287894199</v>
      </c>
      <c r="BW61" s="96">
        <f t="shared" ref="BW61:BW67" si="79">BO61/BQ61</f>
        <v>0.70919175911251975</v>
      </c>
      <c r="BX61" s="99">
        <f t="shared" ref="BX61:BX67" si="80">CK61/SQRT(CJ61*CL61)</f>
        <v>42.443055520282506</v>
      </c>
      <c r="BY61" s="96">
        <f t="shared" ref="BY61:BY67" si="81">AH61/AL61</f>
        <v>1.3261904761904761</v>
      </c>
      <c r="BZ61" s="97">
        <f t="shared" ref="BZ61:BZ67" si="82">(AH61/AL61)/AD61</f>
        <v>5.4130223517978614E-4</v>
      </c>
      <c r="CA61" s="95">
        <f t="shared" si="50"/>
        <v>0.13707637505252118</v>
      </c>
      <c r="CB61" s="99">
        <f t="shared" ref="CB61:CC67" si="83">BQ61*(EXP(0.0001551*2740)+0.0072*EXP(2740*0.0009849))</f>
        <v>206.53104740676403</v>
      </c>
      <c r="CC61" s="99">
        <f t="shared" si="83"/>
        <v>14.074223515833365</v>
      </c>
      <c r="CD61" s="100">
        <f t="shared" si="35"/>
        <v>725.20479179380322</v>
      </c>
      <c r="CE61" s="100">
        <f t="shared" si="51"/>
        <v>763.15997994127349</v>
      </c>
      <c r="CF61" s="100">
        <f t="shared" si="23"/>
        <v>34.746601473857503</v>
      </c>
      <c r="CG61" s="96">
        <f t="shared" ref="CG61:CG67" si="84">2.28+3.99*LOG(AH61/((CB61*BI61)^(1/2)))</f>
        <v>-0.91484528410790755</v>
      </c>
      <c r="CH61" s="96">
        <f t="shared" si="52"/>
        <v>0.42845392336607574</v>
      </c>
      <c r="CJ61" s="95">
        <f t="shared" ref="CJ61:CJ67" si="85">AF61/CJ$4</f>
        <v>2.1518987341772156E-2</v>
      </c>
      <c r="CK61" s="93">
        <f t="shared" ref="CK61:CK67" si="86">AH61/CK$4</f>
        <v>9.1013071895424851</v>
      </c>
      <c r="CL61" s="93">
        <f t="shared" ref="CL61:CL67" si="87">AJ61/CL$4</f>
        <v>2.1368421052631579</v>
      </c>
      <c r="CM61" s="93">
        <f t="shared" ref="CM61:CM67" si="88">AL61/CM$4</f>
        <v>8.9935760171306214</v>
      </c>
      <c r="CN61" s="93">
        <f t="shared" ref="CN61:CN67" si="89">AN61/CN$4</f>
        <v>57.516339869281055</v>
      </c>
      <c r="CO61" s="93">
        <f t="shared" ref="CO61:CO67" si="90">AP61/CO$4</f>
        <v>17.068965517241377</v>
      </c>
      <c r="CP61" s="93">
        <f t="shared" ref="CP61:CP67" si="91">AR61/CP$4</f>
        <v>269.58637469586375</v>
      </c>
      <c r="CQ61" s="93">
        <f t="shared" ref="CQ61:CQ67" si="92">AT61/CQ$4</f>
        <v>499.99999999999994</v>
      </c>
      <c r="CR61" s="93">
        <f t="shared" ref="CR61:CR67" si="93">AV61/CR$4</f>
        <v>909.44881889763781</v>
      </c>
      <c r="CS61" s="93">
        <f t="shared" ref="CS61:CS67" si="94">AX61/CS$4</f>
        <v>1505.3003533568906</v>
      </c>
      <c r="CT61" s="93">
        <f t="shared" ref="CT61:CT67" si="95">AZ61/CT$4</f>
        <v>2410.8761329305134</v>
      </c>
      <c r="CU61" s="93">
        <f t="shared" ref="CU61:CU67" si="96">BB61/CU$4</f>
        <v>3031.372549019608</v>
      </c>
      <c r="CV61" s="93">
        <f t="shared" ref="CV61:CV67" si="97">BD61/CV$4</f>
        <v>3729.411764705882</v>
      </c>
      <c r="CW61" s="93">
        <f t="shared" ref="CW61:CW67" si="98">BF61/CW$4</f>
        <v>4881.889763779528</v>
      </c>
    </row>
    <row r="62" spans="1:101" s="98" customFormat="1">
      <c r="A62" s="3" t="s">
        <v>302</v>
      </c>
      <c r="B62" s="92" t="s">
        <v>244</v>
      </c>
      <c r="C62" s="3" t="s">
        <v>285</v>
      </c>
      <c r="D62" s="93">
        <v>11.31</v>
      </c>
      <c r="E62" s="94">
        <v>0.18956000000000001</v>
      </c>
      <c r="F62" s="94">
        <v>6.9999999999999999E-4</v>
      </c>
      <c r="G62" s="95">
        <v>13.663</v>
      </c>
      <c r="H62" s="96">
        <v>0.4</v>
      </c>
      <c r="I62" s="97">
        <v>0.52270000000000005</v>
      </c>
      <c r="J62" s="95">
        <v>1.4E-2</v>
      </c>
      <c r="K62" s="96">
        <v>0.80608000000000002</v>
      </c>
      <c r="M62" s="99">
        <v>2710.6</v>
      </c>
      <c r="N62" s="98">
        <v>60</v>
      </c>
      <c r="O62" s="99">
        <v>2738.6</v>
      </c>
      <c r="P62" s="98">
        <v>2.2999999999999998</v>
      </c>
      <c r="Q62" s="93">
        <v>1.02</v>
      </c>
      <c r="R62" s="97">
        <v>3.3999999999999998E-3</v>
      </c>
      <c r="T62" s="98">
        <v>360</v>
      </c>
      <c r="U62" s="98">
        <v>150</v>
      </c>
      <c r="V62" s="98" t="s">
        <v>250</v>
      </c>
      <c r="W62" s="98" t="s">
        <v>250</v>
      </c>
      <c r="X62" s="98">
        <v>0.6</v>
      </c>
      <c r="Y62" s="98">
        <v>0.38</v>
      </c>
      <c r="Z62" s="98">
        <v>2.97</v>
      </c>
      <c r="AA62" s="98">
        <v>0.74</v>
      </c>
      <c r="AB62" s="98">
        <v>1.06</v>
      </c>
      <c r="AC62" s="98">
        <v>0.4</v>
      </c>
      <c r="AD62" s="98">
        <v>3000</v>
      </c>
      <c r="AE62" s="98">
        <v>230</v>
      </c>
      <c r="AF62" s="95">
        <v>0.23</v>
      </c>
      <c r="AG62" s="97">
        <v>0.27</v>
      </c>
      <c r="AH62" s="96">
        <v>7.03</v>
      </c>
      <c r="AI62" s="96">
        <v>0.96</v>
      </c>
      <c r="AJ62" s="95">
        <v>0.38100000000000001</v>
      </c>
      <c r="AK62" s="95">
        <v>7.1999999999999995E-2</v>
      </c>
      <c r="AL62" s="96">
        <v>4.4000000000000004</v>
      </c>
      <c r="AM62" s="96">
        <v>1.2</v>
      </c>
      <c r="AN62" s="96">
        <v>11</v>
      </c>
      <c r="AO62" s="96">
        <v>2.1</v>
      </c>
      <c r="AP62" s="96">
        <v>1.33</v>
      </c>
      <c r="AQ62" s="96">
        <v>0.31</v>
      </c>
      <c r="AR62" s="96">
        <v>71.7</v>
      </c>
      <c r="AS62" s="93">
        <v>9.4</v>
      </c>
      <c r="AT62" s="96">
        <v>22</v>
      </c>
      <c r="AU62" s="96">
        <v>1.9</v>
      </c>
      <c r="AV62" s="99">
        <v>291</v>
      </c>
      <c r="AW62" s="98">
        <v>19</v>
      </c>
      <c r="AX62" s="98">
        <v>97.9</v>
      </c>
      <c r="AY62" s="96">
        <v>6.6</v>
      </c>
      <c r="AZ62" s="98">
        <v>466</v>
      </c>
      <c r="BA62" s="98">
        <v>36</v>
      </c>
      <c r="BB62" s="98">
        <v>89.5</v>
      </c>
      <c r="BC62" s="93">
        <v>6.5</v>
      </c>
      <c r="BD62" s="98">
        <v>749</v>
      </c>
      <c r="BE62" s="98">
        <v>60</v>
      </c>
      <c r="BF62" s="98">
        <v>138</v>
      </c>
      <c r="BG62" s="99">
        <v>11</v>
      </c>
      <c r="BI62" s="93">
        <v>7.5</v>
      </c>
      <c r="BJ62" s="98">
        <v>2.5</v>
      </c>
      <c r="BK62" s="98">
        <v>575000</v>
      </c>
      <c r="BL62" s="98">
        <v>50000</v>
      </c>
      <c r="BM62" s="98">
        <v>9860</v>
      </c>
      <c r="BN62" s="98">
        <v>870</v>
      </c>
      <c r="BO62" s="99">
        <v>114.2</v>
      </c>
      <c r="BP62" s="98">
        <v>6.2</v>
      </c>
      <c r="BQ62" s="99">
        <v>149.5</v>
      </c>
      <c r="BR62" s="98">
        <v>8.4</v>
      </c>
      <c r="BT62" s="95">
        <f t="shared" si="76"/>
        <v>0.19959946595460615</v>
      </c>
      <c r="BU62" s="96">
        <f t="shared" si="77"/>
        <v>1.5977272727272727</v>
      </c>
      <c r="BV62" s="96">
        <f t="shared" si="78"/>
        <v>58.316430020283974</v>
      </c>
      <c r="BW62" s="96">
        <f t="shared" si="79"/>
        <v>0.76387959866220734</v>
      </c>
      <c r="BX62" s="99">
        <f t="shared" si="80"/>
        <v>5.822553298587466</v>
      </c>
      <c r="BY62" s="96">
        <f t="shared" si="81"/>
        <v>1.5977272727272727</v>
      </c>
      <c r="BZ62" s="97">
        <f t="shared" si="82"/>
        <v>5.3257575757575753E-4</v>
      </c>
      <c r="CA62" s="95">
        <f t="shared" si="50"/>
        <v>0.14478359482587186</v>
      </c>
      <c r="CB62" s="99">
        <f t="shared" si="83"/>
        <v>244.66237390896373</v>
      </c>
      <c r="CC62" s="99">
        <f t="shared" si="83"/>
        <v>13.746915992209335</v>
      </c>
      <c r="CD62" s="100">
        <f t="shared" si="35"/>
        <v>745.74195499893858</v>
      </c>
      <c r="CE62" s="100">
        <f t="shared" si="51"/>
        <v>785.30569871390196</v>
      </c>
      <c r="CF62" s="100">
        <f t="shared" si="23"/>
        <v>36.10887658610531</v>
      </c>
      <c r="CG62" s="96">
        <f t="shared" si="84"/>
        <v>-0.85158700828896494</v>
      </c>
      <c r="CH62" s="96">
        <f t="shared" si="52"/>
        <v>0.38391147070697307</v>
      </c>
      <c r="CJ62" s="95">
        <f t="shared" si="85"/>
        <v>0.97046413502109719</v>
      </c>
      <c r="CK62" s="93">
        <f t="shared" si="86"/>
        <v>11.486928104575163</v>
      </c>
      <c r="CL62" s="93">
        <f t="shared" si="87"/>
        <v>4.0105263157894733</v>
      </c>
      <c r="CM62" s="93">
        <f t="shared" si="88"/>
        <v>9.4218415417558887</v>
      </c>
      <c r="CN62" s="93">
        <f t="shared" si="89"/>
        <v>71.895424836601308</v>
      </c>
      <c r="CO62" s="93">
        <f t="shared" si="90"/>
        <v>22.931034482758619</v>
      </c>
      <c r="CP62" s="93">
        <f t="shared" si="91"/>
        <v>348.90510948905114</v>
      </c>
      <c r="CQ62" s="93">
        <f t="shared" si="92"/>
        <v>588.23529411764707</v>
      </c>
      <c r="CR62" s="93">
        <f t="shared" si="93"/>
        <v>1145.6692913385828</v>
      </c>
      <c r="CS62" s="93">
        <f t="shared" si="94"/>
        <v>1729.6819787985867</v>
      </c>
      <c r="CT62" s="93">
        <f t="shared" si="95"/>
        <v>2815.7099697885196</v>
      </c>
      <c r="CU62" s="93">
        <f t="shared" si="96"/>
        <v>3509.8039215686276</v>
      </c>
      <c r="CV62" s="93">
        <f t="shared" si="97"/>
        <v>4405.8823529411766</v>
      </c>
      <c r="CW62" s="93">
        <f t="shared" si="98"/>
        <v>5433.0708661417329</v>
      </c>
    </row>
    <row r="63" spans="1:101" s="98" customFormat="1">
      <c r="A63" s="3" t="s">
        <v>303</v>
      </c>
      <c r="B63" s="92" t="s">
        <v>244</v>
      </c>
      <c r="C63" s="3"/>
      <c r="D63" s="93">
        <v>11.27</v>
      </c>
      <c r="E63" s="94">
        <v>0.18945999999999999</v>
      </c>
      <c r="F63" s="94">
        <v>9.5E-4</v>
      </c>
      <c r="G63" s="95">
        <v>13.561</v>
      </c>
      <c r="H63" s="96">
        <v>0.4</v>
      </c>
      <c r="I63" s="97">
        <v>0.51910000000000001</v>
      </c>
      <c r="J63" s="95">
        <v>1.4E-2</v>
      </c>
      <c r="K63" s="96">
        <v>0.70835999999999999</v>
      </c>
      <c r="M63" s="99">
        <v>2695.2</v>
      </c>
      <c r="N63" s="98">
        <v>60</v>
      </c>
      <c r="O63" s="99">
        <v>2737.6</v>
      </c>
      <c r="P63" s="98">
        <v>4.5999999999999996</v>
      </c>
      <c r="Q63" s="93">
        <v>1.55</v>
      </c>
      <c r="R63" s="97">
        <v>5.4999999999999997E-3</v>
      </c>
      <c r="T63" s="98">
        <v>340</v>
      </c>
      <c r="U63" s="98">
        <v>170</v>
      </c>
      <c r="V63" s="98" t="s">
        <v>250</v>
      </c>
      <c r="W63" s="98" t="s">
        <v>250</v>
      </c>
      <c r="X63" s="98">
        <v>0.34</v>
      </c>
      <c r="Y63" s="98">
        <v>0.21</v>
      </c>
      <c r="Z63" s="98">
        <v>3.15</v>
      </c>
      <c r="AA63" s="98">
        <v>0.84</v>
      </c>
      <c r="AB63" s="98">
        <v>1.25</v>
      </c>
      <c r="AC63" s="98">
        <v>0.37</v>
      </c>
      <c r="AD63" s="98">
        <v>1670</v>
      </c>
      <c r="AE63" s="98">
        <v>160</v>
      </c>
      <c r="AF63" s="95">
        <v>5.5999999999999999E-3</v>
      </c>
      <c r="AG63" s="97">
        <v>7.1999999999999998E-3</v>
      </c>
      <c r="AH63" s="96">
        <v>4.7699999999999996</v>
      </c>
      <c r="AI63" s="96">
        <v>0.49</v>
      </c>
      <c r="AJ63" s="95">
        <v>0.10199999999999999</v>
      </c>
      <c r="AK63" s="95">
        <v>3.6999999999999998E-2</v>
      </c>
      <c r="AL63" s="96">
        <v>2.4900000000000002</v>
      </c>
      <c r="AM63" s="96">
        <v>0.88</v>
      </c>
      <c r="AN63" s="96">
        <v>4.34</v>
      </c>
      <c r="AO63" s="96">
        <v>0.95</v>
      </c>
      <c r="AP63" s="96">
        <v>0.62</v>
      </c>
      <c r="AQ63" s="96">
        <v>0.16</v>
      </c>
      <c r="AR63" s="96">
        <v>29.3</v>
      </c>
      <c r="AS63" s="93">
        <v>4.2</v>
      </c>
      <c r="AT63" s="96">
        <v>10.6</v>
      </c>
      <c r="AU63" s="96">
        <v>1.1000000000000001</v>
      </c>
      <c r="AV63" s="99">
        <v>147</v>
      </c>
      <c r="AW63" s="98">
        <v>14</v>
      </c>
      <c r="AX63" s="98">
        <v>54.3</v>
      </c>
      <c r="AY63" s="96">
        <v>4.5</v>
      </c>
      <c r="AZ63" s="98">
        <v>271</v>
      </c>
      <c r="BA63" s="98">
        <v>20</v>
      </c>
      <c r="BB63" s="98">
        <v>54.1</v>
      </c>
      <c r="BC63" s="93">
        <v>3.9</v>
      </c>
      <c r="BD63" s="98">
        <v>489</v>
      </c>
      <c r="BE63" s="98">
        <v>40</v>
      </c>
      <c r="BF63" s="98">
        <v>98.6</v>
      </c>
      <c r="BG63" s="99">
        <v>7.8</v>
      </c>
      <c r="BI63" s="93">
        <v>8.9</v>
      </c>
      <c r="BJ63" s="98">
        <v>2.8</v>
      </c>
      <c r="BK63" s="98">
        <v>561000</v>
      </c>
      <c r="BL63" s="98">
        <v>53000</v>
      </c>
      <c r="BM63" s="98">
        <v>9400</v>
      </c>
      <c r="BN63" s="98">
        <v>710</v>
      </c>
      <c r="BO63" s="99">
        <v>55.7</v>
      </c>
      <c r="BP63" s="98">
        <v>3.8</v>
      </c>
      <c r="BQ63" s="99">
        <v>108.2</v>
      </c>
      <c r="BR63" s="98">
        <v>7.5</v>
      </c>
      <c r="BT63" s="95">
        <f t="shared" si="76"/>
        <v>0.22126789366053171</v>
      </c>
      <c r="BU63" s="96">
        <f t="shared" si="77"/>
        <v>1.9156626506024093</v>
      </c>
      <c r="BV63" s="96">
        <f t="shared" si="78"/>
        <v>59.680851063829785</v>
      </c>
      <c r="BW63" s="96">
        <f t="shared" si="79"/>
        <v>0.51478743068391863</v>
      </c>
      <c r="BX63" s="99">
        <f t="shared" si="80"/>
        <v>48.933787667393936</v>
      </c>
      <c r="BY63" s="96">
        <f t="shared" si="81"/>
        <v>1.9156626506024093</v>
      </c>
      <c r="BZ63" s="97">
        <f t="shared" si="82"/>
        <v>1.1471033835942571E-3</v>
      </c>
      <c r="CA63" s="95">
        <f t="shared" si="50"/>
        <v>0.16808797668664391</v>
      </c>
      <c r="CB63" s="99">
        <f t="shared" si="83"/>
        <v>177.07337028060118</v>
      </c>
      <c r="CC63" s="99">
        <f t="shared" si="83"/>
        <v>12.274032135901191</v>
      </c>
      <c r="CD63" s="100">
        <f t="shared" si="35"/>
        <v>762.07543096311917</v>
      </c>
      <c r="CE63" s="100">
        <f t="shared" si="51"/>
        <v>802.94324403655708</v>
      </c>
      <c r="CF63" s="100">
        <f t="shared" si="23"/>
        <v>35.336482230402858</v>
      </c>
      <c r="CG63" s="96">
        <f t="shared" si="84"/>
        <v>-1.3918104714178212</v>
      </c>
      <c r="CH63" s="96">
        <f t="shared" si="52"/>
        <v>0.30650312408619323</v>
      </c>
      <c r="CJ63" s="95">
        <f t="shared" si="85"/>
        <v>2.3628691983122365E-2</v>
      </c>
      <c r="CK63" s="93">
        <f t="shared" si="86"/>
        <v>7.7941176470588234</v>
      </c>
      <c r="CL63" s="93">
        <f t="shared" si="87"/>
        <v>1.0736842105263158</v>
      </c>
      <c r="CM63" s="93">
        <f t="shared" si="88"/>
        <v>5.3319057815845827</v>
      </c>
      <c r="CN63" s="93">
        <f t="shared" si="89"/>
        <v>28.366013071895424</v>
      </c>
      <c r="CO63" s="93">
        <f t="shared" si="90"/>
        <v>10.689655172413792</v>
      </c>
      <c r="CP63" s="93">
        <f t="shared" si="91"/>
        <v>142.57907542579076</v>
      </c>
      <c r="CQ63" s="93">
        <f t="shared" si="92"/>
        <v>283.42245989304809</v>
      </c>
      <c r="CR63" s="93">
        <f t="shared" si="93"/>
        <v>578.74015748031491</v>
      </c>
      <c r="CS63" s="93">
        <f t="shared" si="94"/>
        <v>959.36395759717311</v>
      </c>
      <c r="CT63" s="93">
        <f t="shared" si="95"/>
        <v>1637.4622356495468</v>
      </c>
      <c r="CU63" s="93">
        <f t="shared" si="96"/>
        <v>2121.5686274509808</v>
      </c>
      <c r="CV63" s="93">
        <f t="shared" si="97"/>
        <v>2876.4705882352937</v>
      </c>
      <c r="CW63" s="93">
        <f t="shared" si="98"/>
        <v>3881.8897637795276</v>
      </c>
    </row>
    <row r="64" spans="1:101" s="98" customFormat="1">
      <c r="A64" s="3" t="s">
        <v>304</v>
      </c>
      <c r="B64" s="92" t="s">
        <v>244</v>
      </c>
      <c r="C64" s="3" t="s">
        <v>285</v>
      </c>
      <c r="D64" s="93">
        <v>11.05</v>
      </c>
      <c r="E64" s="94">
        <v>0.18967999999999999</v>
      </c>
      <c r="F64" s="94">
        <v>7.3999999999999999E-4</v>
      </c>
      <c r="G64" s="95">
        <v>13.625</v>
      </c>
      <c r="H64" s="96">
        <v>0.4</v>
      </c>
      <c r="I64" s="97">
        <v>0.52100000000000002</v>
      </c>
      <c r="J64" s="95">
        <v>1.4E-2</v>
      </c>
      <c r="K64" s="96">
        <v>0.74885999999999997</v>
      </c>
      <c r="M64" s="99">
        <v>2703.4</v>
      </c>
      <c r="N64" s="98">
        <v>60</v>
      </c>
      <c r="O64" s="99">
        <v>2739.8</v>
      </c>
      <c r="P64" s="98">
        <v>4.3</v>
      </c>
      <c r="Q64" s="93">
        <v>1.25</v>
      </c>
      <c r="R64" s="97">
        <v>4.7999999999999996E-3</v>
      </c>
      <c r="T64" s="98">
        <v>330</v>
      </c>
      <c r="U64" s="98">
        <v>110</v>
      </c>
      <c r="V64" s="98" t="s">
        <v>250</v>
      </c>
      <c r="W64" s="98" t="s">
        <v>250</v>
      </c>
      <c r="X64" s="98">
        <v>0.14000000000000001</v>
      </c>
      <c r="Y64" s="98">
        <v>0.17</v>
      </c>
      <c r="Z64" s="98">
        <v>4</v>
      </c>
      <c r="AA64" s="98">
        <v>1.1000000000000001</v>
      </c>
      <c r="AB64" s="98">
        <v>0.97</v>
      </c>
      <c r="AC64" s="98">
        <v>0.37</v>
      </c>
      <c r="AD64" s="98">
        <v>1110</v>
      </c>
      <c r="AE64" s="98">
        <v>110</v>
      </c>
      <c r="AF64" s="95">
        <v>3.1E-2</v>
      </c>
      <c r="AG64" s="97">
        <v>1.7000000000000001E-2</v>
      </c>
      <c r="AH64" s="96">
        <v>5.53</v>
      </c>
      <c r="AI64" s="96">
        <v>0.64</v>
      </c>
      <c r="AJ64" s="95">
        <v>7.0000000000000007E-2</v>
      </c>
      <c r="AK64" s="95">
        <v>3.3000000000000002E-2</v>
      </c>
      <c r="AL64" s="96">
        <v>0.84</v>
      </c>
      <c r="AM64" s="96">
        <v>0.36</v>
      </c>
      <c r="AN64" s="96">
        <v>2.72</v>
      </c>
      <c r="AO64" s="96">
        <v>0.78</v>
      </c>
      <c r="AP64" s="96">
        <v>0.28000000000000003</v>
      </c>
      <c r="AQ64" s="96">
        <v>0.12</v>
      </c>
      <c r="AR64" s="96">
        <v>17.100000000000001</v>
      </c>
      <c r="AS64" s="93">
        <v>3</v>
      </c>
      <c r="AT64" s="96">
        <v>7</v>
      </c>
      <c r="AU64" s="96">
        <v>1</v>
      </c>
      <c r="AV64" s="99">
        <v>97.5</v>
      </c>
      <c r="AW64" s="98">
        <v>9.5</v>
      </c>
      <c r="AX64" s="98">
        <v>35.700000000000003</v>
      </c>
      <c r="AY64" s="96">
        <v>3.2</v>
      </c>
      <c r="AZ64" s="98">
        <v>175</v>
      </c>
      <c r="BA64" s="98">
        <v>16</v>
      </c>
      <c r="BB64" s="98">
        <v>38.799999999999997</v>
      </c>
      <c r="BC64" s="93">
        <v>4.5999999999999996</v>
      </c>
      <c r="BD64" s="98">
        <v>318</v>
      </c>
      <c r="BE64" s="98">
        <v>30</v>
      </c>
      <c r="BF64" s="98">
        <v>61.8</v>
      </c>
      <c r="BG64" s="99">
        <v>6.4</v>
      </c>
      <c r="BI64" s="93">
        <v>7.8</v>
      </c>
      <c r="BJ64" s="98">
        <v>2.9</v>
      </c>
      <c r="BK64" s="98">
        <v>557000</v>
      </c>
      <c r="BL64" s="98">
        <v>51000</v>
      </c>
      <c r="BM64" s="98">
        <v>10900</v>
      </c>
      <c r="BN64" s="98">
        <v>1200</v>
      </c>
      <c r="BO64" s="99">
        <v>52.9</v>
      </c>
      <c r="BP64" s="98">
        <v>4.4000000000000004</v>
      </c>
      <c r="BQ64" s="99">
        <v>94.2</v>
      </c>
      <c r="BR64" s="98">
        <v>7.6</v>
      </c>
      <c r="BT64" s="95">
        <f t="shared" si="76"/>
        <v>0.29622641509433961</v>
      </c>
      <c r="BU64" s="96">
        <f t="shared" si="77"/>
        <v>6.5833333333333339</v>
      </c>
      <c r="BV64" s="96">
        <f t="shared" si="78"/>
        <v>51.100917431192663</v>
      </c>
      <c r="BW64" s="96">
        <f t="shared" si="79"/>
        <v>0.56157112526539277</v>
      </c>
      <c r="BX64" s="99">
        <f t="shared" si="80"/>
        <v>29.10581857161808</v>
      </c>
      <c r="BY64" s="96">
        <f t="shared" si="81"/>
        <v>6.5833333333333339</v>
      </c>
      <c r="BZ64" s="97">
        <f t="shared" si="82"/>
        <v>5.9309309309309314E-3</v>
      </c>
      <c r="CA64" s="95">
        <f t="shared" si="50"/>
        <v>0.12551601981815178</v>
      </c>
      <c r="CB64" s="99">
        <f t="shared" si="83"/>
        <v>154.16184362691897</v>
      </c>
      <c r="CC64" s="99">
        <f t="shared" si="83"/>
        <v>12.437685897713205</v>
      </c>
      <c r="CD64" s="100">
        <f t="shared" si="35"/>
        <v>749.43928257554785</v>
      </c>
      <c r="CE64" s="100">
        <f t="shared" si="51"/>
        <v>789.29629903952298</v>
      </c>
      <c r="CF64" s="100">
        <f t="shared" si="23"/>
        <v>40.143533787589199</v>
      </c>
      <c r="CG64" s="96">
        <f t="shared" si="84"/>
        <v>-0.90126936482757936</v>
      </c>
      <c r="CH64" s="96">
        <f t="shared" si="52"/>
        <v>0.40667467992385498</v>
      </c>
      <c r="CJ64" s="95">
        <f t="shared" si="85"/>
        <v>0.13080168776371309</v>
      </c>
      <c r="CK64" s="93">
        <f t="shared" si="86"/>
        <v>9.0359477124183005</v>
      </c>
      <c r="CL64" s="93">
        <f t="shared" si="87"/>
        <v>0.73684210526315796</v>
      </c>
      <c r="CM64" s="93">
        <f t="shared" si="88"/>
        <v>1.798715203426124</v>
      </c>
      <c r="CN64" s="93">
        <f t="shared" si="89"/>
        <v>17.777777777777779</v>
      </c>
      <c r="CO64" s="93">
        <f t="shared" si="90"/>
        <v>4.8275862068965516</v>
      </c>
      <c r="CP64" s="93">
        <f t="shared" si="91"/>
        <v>83.211678832116803</v>
      </c>
      <c r="CQ64" s="93">
        <f t="shared" si="92"/>
        <v>187.16577540106951</v>
      </c>
      <c r="CR64" s="93">
        <f t="shared" si="93"/>
        <v>383.85826771653541</v>
      </c>
      <c r="CS64" s="93">
        <f t="shared" si="94"/>
        <v>630.74204946996474</v>
      </c>
      <c r="CT64" s="93">
        <f t="shared" si="95"/>
        <v>1057.4018126888218</v>
      </c>
      <c r="CU64" s="93">
        <f t="shared" si="96"/>
        <v>1521.5686274509803</v>
      </c>
      <c r="CV64" s="93">
        <f t="shared" si="97"/>
        <v>1870.5882352941176</v>
      </c>
      <c r="CW64" s="93">
        <f t="shared" si="98"/>
        <v>2433.0708661417325</v>
      </c>
    </row>
    <row r="65" spans="1:101" s="98" customFormat="1">
      <c r="A65" s="3" t="s">
        <v>305</v>
      </c>
      <c r="B65" s="92" t="s">
        <v>244</v>
      </c>
      <c r="C65" s="3" t="s">
        <v>287</v>
      </c>
      <c r="D65" s="93">
        <v>11.071</v>
      </c>
      <c r="E65" s="94">
        <v>0.18923000000000001</v>
      </c>
      <c r="F65" s="94">
        <v>8.0000000000000004E-4</v>
      </c>
      <c r="G65" s="95">
        <v>13.598000000000001</v>
      </c>
      <c r="H65" s="96">
        <v>0.4</v>
      </c>
      <c r="I65" s="97">
        <v>0.52129999999999999</v>
      </c>
      <c r="J65" s="95">
        <v>1.4E-2</v>
      </c>
      <c r="K65" s="96">
        <v>0.71916999999999998</v>
      </c>
      <c r="M65" s="99">
        <v>2704.5</v>
      </c>
      <c r="N65" s="98">
        <v>60</v>
      </c>
      <c r="O65" s="99">
        <v>2735.7</v>
      </c>
      <c r="P65" s="98">
        <v>3.7</v>
      </c>
      <c r="Q65" s="93">
        <v>1.1399999999999999</v>
      </c>
      <c r="R65" s="97">
        <v>4.1999999999999997E-3</v>
      </c>
      <c r="T65" s="98">
        <v>429</v>
      </c>
      <c r="U65" s="98">
        <v>95</v>
      </c>
      <c r="V65" s="98">
        <v>0.4</v>
      </c>
      <c r="W65" s="98">
        <v>1.1000000000000001</v>
      </c>
      <c r="X65" s="98">
        <v>0.28000000000000003</v>
      </c>
      <c r="Y65" s="98">
        <v>0.2</v>
      </c>
      <c r="Z65" s="98">
        <v>4</v>
      </c>
      <c r="AA65" s="98">
        <v>0.85</v>
      </c>
      <c r="AB65" s="98">
        <v>1.38</v>
      </c>
      <c r="AC65" s="98">
        <v>0.48</v>
      </c>
      <c r="AD65" s="98">
        <v>1250</v>
      </c>
      <c r="AE65" s="98">
        <v>120</v>
      </c>
      <c r="AF65" s="95">
        <v>8.9999999999999998E-4</v>
      </c>
      <c r="AG65" s="97">
        <v>3.5999999999999999E-3</v>
      </c>
      <c r="AH65" s="96">
        <v>8.89</v>
      </c>
      <c r="AI65" s="96">
        <v>0.86</v>
      </c>
      <c r="AJ65" s="95">
        <v>4.3999999999999997E-2</v>
      </c>
      <c r="AK65" s="95">
        <v>2.1999999999999999E-2</v>
      </c>
      <c r="AL65" s="96">
        <v>1.78</v>
      </c>
      <c r="AM65" s="96">
        <v>0.59</v>
      </c>
      <c r="AN65" s="96">
        <v>3.6</v>
      </c>
      <c r="AO65" s="96">
        <v>1</v>
      </c>
      <c r="AP65" s="96">
        <v>9.6000000000000002E-2</v>
      </c>
      <c r="AQ65" s="96">
        <v>8.3000000000000004E-2</v>
      </c>
      <c r="AR65" s="96">
        <v>23.6</v>
      </c>
      <c r="AS65" s="93">
        <v>4.5</v>
      </c>
      <c r="AT65" s="96">
        <v>8.9</v>
      </c>
      <c r="AU65" s="96">
        <v>1</v>
      </c>
      <c r="AV65" s="99">
        <v>107</v>
      </c>
      <c r="AW65" s="98">
        <v>12</v>
      </c>
      <c r="AX65" s="98">
        <v>41</v>
      </c>
      <c r="AY65" s="96">
        <v>4</v>
      </c>
      <c r="AZ65" s="98">
        <v>197</v>
      </c>
      <c r="BA65" s="98">
        <v>15</v>
      </c>
      <c r="BB65" s="98">
        <v>39</v>
      </c>
      <c r="BC65" s="93">
        <v>3.6</v>
      </c>
      <c r="BD65" s="98">
        <v>358</v>
      </c>
      <c r="BE65" s="98">
        <v>31</v>
      </c>
      <c r="BF65" s="98">
        <v>66.599999999999994</v>
      </c>
      <c r="BG65" s="99">
        <v>6.5</v>
      </c>
      <c r="BI65" s="93">
        <v>4.9000000000000004</v>
      </c>
      <c r="BJ65" s="98">
        <v>2.2000000000000002</v>
      </c>
      <c r="BK65" s="98">
        <v>588000</v>
      </c>
      <c r="BL65" s="98">
        <v>73000</v>
      </c>
      <c r="BM65" s="98">
        <v>11400</v>
      </c>
      <c r="BN65" s="98">
        <v>1400</v>
      </c>
      <c r="BO65" s="99">
        <v>72.2</v>
      </c>
      <c r="BP65" s="98">
        <v>6.4</v>
      </c>
      <c r="BQ65" s="99">
        <v>119</v>
      </c>
      <c r="BR65" s="98">
        <v>11</v>
      </c>
      <c r="BT65" s="95">
        <f t="shared" si="76"/>
        <v>0.33240223463687152</v>
      </c>
      <c r="BU65" s="96">
        <f t="shared" si="77"/>
        <v>4.9943820224719104</v>
      </c>
      <c r="BV65" s="96">
        <f t="shared" si="78"/>
        <v>51.578947368421055</v>
      </c>
      <c r="BW65" s="96">
        <f t="shared" si="79"/>
        <v>0.60672268907563032</v>
      </c>
      <c r="BX65" s="99">
        <f t="shared" si="80"/>
        <v>346.36876532346565</v>
      </c>
      <c r="BY65" s="96">
        <f t="shared" si="81"/>
        <v>4.9943820224719104</v>
      </c>
      <c r="BZ65" s="97">
        <f t="shared" si="82"/>
        <v>3.9955056179775284E-3</v>
      </c>
      <c r="CA65" s="95">
        <f t="shared" si="50"/>
        <v>3.1841067258477546E-2</v>
      </c>
      <c r="CB65" s="99">
        <f t="shared" si="83"/>
        <v>194.74797655629888</v>
      </c>
      <c r="CC65" s="99">
        <f t="shared" si="83"/>
        <v>18.001913799321745</v>
      </c>
      <c r="CD65" s="100">
        <f t="shared" si="35"/>
        <v>707.26915376082059</v>
      </c>
      <c r="CE65" s="100">
        <f t="shared" si="51"/>
        <v>743.8478640882181</v>
      </c>
      <c r="CF65" s="100">
        <f t="shared" si="23"/>
        <v>44.130745170066781</v>
      </c>
      <c r="CG65" s="96">
        <f t="shared" si="84"/>
        <v>0.12167830334214269</v>
      </c>
      <c r="CH65" s="96">
        <f t="shared" si="52"/>
        <v>0.50011025947279475</v>
      </c>
      <c r="CJ65" s="95">
        <f t="shared" si="85"/>
        <v>3.79746835443038E-3</v>
      </c>
      <c r="CK65" s="93">
        <f t="shared" si="86"/>
        <v>14.526143790849675</v>
      </c>
      <c r="CL65" s="93">
        <f t="shared" si="87"/>
        <v>0.46315789473684205</v>
      </c>
      <c r="CM65" s="93">
        <f t="shared" si="88"/>
        <v>3.8115631691648821</v>
      </c>
      <c r="CN65" s="93">
        <f t="shared" si="89"/>
        <v>23.529411764705884</v>
      </c>
      <c r="CO65" s="93">
        <f t="shared" si="90"/>
        <v>1.6551724137931034</v>
      </c>
      <c r="CP65" s="93">
        <f t="shared" si="91"/>
        <v>114.8418491484185</v>
      </c>
      <c r="CQ65" s="93">
        <f t="shared" si="92"/>
        <v>237.96791443850267</v>
      </c>
      <c r="CR65" s="93">
        <f t="shared" si="93"/>
        <v>421.25984251968504</v>
      </c>
      <c r="CS65" s="93">
        <f t="shared" si="94"/>
        <v>724.3816254416962</v>
      </c>
      <c r="CT65" s="93">
        <f t="shared" si="95"/>
        <v>1190.3323262839879</v>
      </c>
      <c r="CU65" s="93">
        <f t="shared" si="96"/>
        <v>1529.4117647058824</v>
      </c>
      <c r="CV65" s="93">
        <f t="shared" si="97"/>
        <v>2105.8823529411761</v>
      </c>
      <c r="CW65" s="93">
        <f t="shared" si="98"/>
        <v>2622.0472440944882</v>
      </c>
    </row>
    <row r="66" spans="1:101" s="98" customFormat="1">
      <c r="A66" s="3" t="s">
        <v>306</v>
      </c>
      <c r="B66" s="92" t="s">
        <v>244</v>
      </c>
      <c r="C66" s="3" t="s">
        <v>285</v>
      </c>
      <c r="D66" s="93">
        <v>11.010999999999999</v>
      </c>
      <c r="E66" s="94">
        <v>0.18953999999999999</v>
      </c>
      <c r="F66" s="94">
        <v>7.6000000000000004E-4</v>
      </c>
      <c r="G66" s="95">
        <v>13.705</v>
      </c>
      <c r="H66" s="96">
        <v>0.4</v>
      </c>
      <c r="I66" s="97">
        <v>0.52470000000000006</v>
      </c>
      <c r="J66" s="95">
        <v>1.4E-2</v>
      </c>
      <c r="K66" s="96">
        <v>0.83340999999999998</v>
      </c>
      <c r="M66" s="99">
        <v>2719</v>
      </c>
      <c r="N66" s="98">
        <v>61</v>
      </c>
      <c r="O66" s="99">
        <v>2738.5</v>
      </c>
      <c r="P66" s="98">
        <v>2.5</v>
      </c>
      <c r="Q66" s="93">
        <v>0.71</v>
      </c>
      <c r="R66" s="97">
        <v>3.0999999999999999E-3</v>
      </c>
      <c r="T66" s="98">
        <v>330</v>
      </c>
      <c r="U66" s="98">
        <v>130</v>
      </c>
      <c r="V66" s="98" t="s">
        <v>250</v>
      </c>
      <c r="W66" s="98" t="s">
        <v>250</v>
      </c>
      <c r="X66" s="98">
        <v>0.47</v>
      </c>
      <c r="Y66" s="98">
        <v>0.23</v>
      </c>
      <c r="Z66" s="98">
        <v>2.79</v>
      </c>
      <c r="AA66" s="98">
        <v>0.73</v>
      </c>
      <c r="AB66" s="98">
        <v>1.47</v>
      </c>
      <c r="AC66" s="98">
        <v>0.38</v>
      </c>
      <c r="AD66" s="98">
        <v>2730</v>
      </c>
      <c r="AE66" s="98">
        <v>270</v>
      </c>
      <c r="AF66" s="95">
        <v>4.2999999999999997E-2</v>
      </c>
      <c r="AG66" s="97">
        <v>0.03</v>
      </c>
      <c r="AH66" s="96">
        <v>5.7</v>
      </c>
      <c r="AI66" s="96">
        <v>1.1000000000000001</v>
      </c>
      <c r="AJ66" s="95">
        <v>0.252</v>
      </c>
      <c r="AK66" s="95">
        <v>6.4000000000000001E-2</v>
      </c>
      <c r="AL66" s="96">
        <v>4</v>
      </c>
      <c r="AM66" s="96">
        <v>1</v>
      </c>
      <c r="AN66" s="96">
        <v>9.6999999999999993</v>
      </c>
      <c r="AO66" s="96">
        <v>1.6</v>
      </c>
      <c r="AP66" s="96">
        <v>1.0900000000000001</v>
      </c>
      <c r="AQ66" s="96">
        <v>0.22</v>
      </c>
      <c r="AR66" s="96">
        <v>57.5</v>
      </c>
      <c r="AS66" s="93">
        <v>8.3000000000000007</v>
      </c>
      <c r="AT66" s="96">
        <v>20.9</v>
      </c>
      <c r="AU66" s="96">
        <v>1.6</v>
      </c>
      <c r="AV66" s="99">
        <v>254</v>
      </c>
      <c r="AW66" s="98">
        <v>18</v>
      </c>
      <c r="AX66" s="98">
        <v>87.8</v>
      </c>
      <c r="AY66" s="96">
        <v>5.7</v>
      </c>
      <c r="AZ66" s="98">
        <v>431</v>
      </c>
      <c r="BA66" s="98">
        <v>36</v>
      </c>
      <c r="BB66" s="98">
        <v>82.1</v>
      </c>
      <c r="BC66" s="93">
        <v>8</v>
      </c>
      <c r="BD66" s="98">
        <v>706</v>
      </c>
      <c r="BE66" s="98">
        <v>70</v>
      </c>
      <c r="BF66" s="98">
        <v>132</v>
      </c>
      <c r="BG66" s="99">
        <v>12</v>
      </c>
      <c r="BI66" s="93">
        <v>5.6</v>
      </c>
      <c r="BJ66" s="98">
        <v>2.9</v>
      </c>
      <c r="BK66" s="98">
        <v>517000</v>
      </c>
      <c r="BL66" s="98">
        <v>53000</v>
      </c>
      <c r="BM66" s="98">
        <v>9530</v>
      </c>
      <c r="BN66" s="98">
        <v>820</v>
      </c>
      <c r="BO66" s="99">
        <v>99.4</v>
      </c>
      <c r="BP66" s="98">
        <v>5.3</v>
      </c>
      <c r="BQ66" s="99">
        <v>137.80000000000001</v>
      </c>
      <c r="BR66" s="98">
        <v>7.5</v>
      </c>
      <c r="BT66" s="95">
        <f t="shared" si="76"/>
        <v>0.19518413597733714</v>
      </c>
      <c r="BU66" s="96">
        <f t="shared" si="77"/>
        <v>1.425</v>
      </c>
      <c r="BV66" s="96">
        <f t="shared" si="78"/>
        <v>54.249737670514165</v>
      </c>
      <c r="BW66" s="96">
        <f t="shared" si="79"/>
        <v>0.72133526850507979</v>
      </c>
      <c r="BX66" s="99">
        <f t="shared" si="80"/>
        <v>13.425328187275168</v>
      </c>
      <c r="BY66" s="96">
        <f t="shared" si="81"/>
        <v>1.425</v>
      </c>
      <c r="BZ66" s="97">
        <f t="shared" si="82"/>
        <v>5.2197802197802203E-4</v>
      </c>
      <c r="CA66" s="95">
        <f t="shared" si="50"/>
        <v>0.14110108179330164</v>
      </c>
      <c r="CB66" s="99">
        <f t="shared" si="83"/>
        <v>225.5148837769579</v>
      </c>
      <c r="CC66" s="99">
        <f t="shared" si="83"/>
        <v>12.274032135901191</v>
      </c>
      <c r="CD66" s="100">
        <f t="shared" si="35"/>
        <v>719.02151121268412</v>
      </c>
      <c r="CE66" s="100">
        <f t="shared" si="51"/>
        <v>756.4991820815161</v>
      </c>
      <c r="CF66" s="100">
        <f t="shared" si="23"/>
        <v>51.679037877678084</v>
      </c>
      <c r="CG66" s="96">
        <f t="shared" si="84"/>
        <v>-0.89127898409351136</v>
      </c>
      <c r="CH66" s="96">
        <f t="shared" si="52"/>
        <v>0.61345759939614319</v>
      </c>
      <c r="CJ66" s="95">
        <f t="shared" si="85"/>
        <v>0.18143459915611815</v>
      </c>
      <c r="CK66" s="93">
        <f t="shared" si="86"/>
        <v>9.3137254901960791</v>
      </c>
      <c r="CL66" s="93">
        <f t="shared" si="87"/>
        <v>2.6526315789473682</v>
      </c>
      <c r="CM66" s="93">
        <f t="shared" si="88"/>
        <v>8.5653104925053523</v>
      </c>
      <c r="CN66" s="93">
        <f t="shared" si="89"/>
        <v>63.398692810457511</v>
      </c>
      <c r="CO66" s="93">
        <f t="shared" si="90"/>
        <v>18.793103448275861</v>
      </c>
      <c r="CP66" s="93">
        <f t="shared" si="91"/>
        <v>279.80535279805355</v>
      </c>
      <c r="CQ66" s="93">
        <f t="shared" si="92"/>
        <v>558.82352941176464</v>
      </c>
      <c r="CR66" s="93">
        <f t="shared" si="93"/>
        <v>1000</v>
      </c>
      <c r="CS66" s="93">
        <f t="shared" si="94"/>
        <v>1551.2367491166078</v>
      </c>
      <c r="CT66" s="93">
        <f t="shared" si="95"/>
        <v>2604.2296072507552</v>
      </c>
      <c r="CU66" s="93">
        <f t="shared" si="96"/>
        <v>3219.6078431372548</v>
      </c>
      <c r="CV66" s="93">
        <f t="shared" si="97"/>
        <v>4152.9411764705883</v>
      </c>
      <c r="CW66" s="93">
        <f t="shared" si="98"/>
        <v>5196.8503937007872</v>
      </c>
    </row>
    <row r="67" spans="1:101" s="98" customFormat="1">
      <c r="A67" s="3" t="s">
        <v>307</v>
      </c>
      <c r="B67" s="92" t="s">
        <v>244</v>
      </c>
      <c r="C67" s="3" t="s">
        <v>285</v>
      </c>
      <c r="D67" s="93">
        <v>11.026999999999999</v>
      </c>
      <c r="E67" s="94">
        <v>0.18929000000000001</v>
      </c>
      <c r="F67" s="94">
        <v>8.7000000000000001E-4</v>
      </c>
      <c r="G67" s="95">
        <v>13.766</v>
      </c>
      <c r="H67" s="96">
        <v>0.41</v>
      </c>
      <c r="I67" s="97">
        <v>0.52780000000000005</v>
      </c>
      <c r="J67" s="95">
        <v>1.4E-2</v>
      </c>
      <c r="K67" s="96">
        <v>0.79866999999999999</v>
      </c>
      <c r="M67" s="99">
        <v>2732</v>
      </c>
      <c r="N67" s="98">
        <v>61</v>
      </c>
      <c r="O67" s="99">
        <v>2736</v>
      </c>
      <c r="P67" s="98">
        <v>2.1</v>
      </c>
      <c r="Q67" s="93">
        <v>0.14000000000000001</v>
      </c>
      <c r="R67" s="97">
        <v>2E-3</v>
      </c>
      <c r="T67" s="98">
        <v>250</v>
      </c>
      <c r="U67" s="98">
        <v>150</v>
      </c>
      <c r="V67" s="98">
        <v>0.22</v>
      </c>
      <c r="W67" s="98">
        <v>0.86</v>
      </c>
      <c r="X67" s="98">
        <v>0.59</v>
      </c>
      <c r="Y67" s="98">
        <v>0.24</v>
      </c>
      <c r="Z67" s="98">
        <v>2.99</v>
      </c>
      <c r="AA67" s="98">
        <v>0.82</v>
      </c>
      <c r="AB67" s="98">
        <v>1.1399999999999999</v>
      </c>
      <c r="AC67" s="98">
        <v>0.36</v>
      </c>
      <c r="AD67" s="98">
        <v>2550</v>
      </c>
      <c r="AE67" s="98">
        <v>200</v>
      </c>
      <c r="AF67" s="95">
        <v>2.1999999999999999E-2</v>
      </c>
      <c r="AG67" s="97">
        <v>1.4E-2</v>
      </c>
      <c r="AH67" s="96">
        <v>5.96</v>
      </c>
      <c r="AI67" s="96">
        <v>0.93</v>
      </c>
      <c r="AJ67" s="95">
        <v>0.23899999999999999</v>
      </c>
      <c r="AK67" s="95">
        <v>5.3999999999999999E-2</v>
      </c>
      <c r="AL67" s="96">
        <v>5.2</v>
      </c>
      <c r="AM67" s="96">
        <v>1.3</v>
      </c>
      <c r="AN67" s="96">
        <v>8.5</v>
      </c>
      <c r="AO67" s="96">
        <v>1.4</v>
      </c>
      <c r="AP67" s="96">
        <v>1.06</v>
      </c>
      <c r="AQ67" s="96">
        <v>0.26</v>
      </c>
      <c r="AR67" s="96">
        <v>62.7</v>
      </c>
      <c r="AS67" s="93">
        <v>9.3000000000000007</v>
      </c>
      <c r="AT67" s="96">
        <v>19.8</v>
      </c>
      <c r="AU67" s="96">
        <v>2.7</v>
      </c>
      <c r="AV67" s="99">
        <v>242</v>
      </c>
      <c r="AW67" s="98">
        <v>28</v>
      </c>
      <c r="AX67" s="98">
        <v>91.1</v>
      </c>
      <c r="AY67" s="96">
        <v>9.3000000000000007</v>
      </c>
      <c r="AZ67" s="98">
        <v>438</v>
      </c>
      <c r="BA67" s="98">
        <v>47</v>
      </c>
      <c r="BB67" s="98">
        <v>79.900000000000006</v>
      </c>
      <c r="BC67" s="93">
        <v>8.1</v>
      </c>
      <c r="BD67" s="98">
        <v>698</v>
      </c>
      <c r="BE67" s="98">
        <v>79</v>
      </c>
      <c r="BF67" s="98">
        <v>133</v>
      </c>
      <c r="BG67" s="99">
        <v>15</v>
      </c>
      <c r="BI67" s="93">
        <v>7.7</v>
      </c>
      <c r="BJ67" s="98">
        <v>2.2000000000000002</v>
      </c>
      <c r="BK67" s="98">
        <v>547000</v>
      </c>
      <c r="BL67" s="98">
        <v>66000</v>
      </c>
      <c r="BM67" s="98">
        <v>9900</v>
      </c>
      <c r="BN67" s="98">
        <v>1200</v>
      </c>
      <c r="BO67" s="99">
        <v>98.9</v>
      </c>
      <c r="BP67" s="98">
        <v>9.5</v>
      </c>
      <c r="BQ67" s="99">
        <v>135</v>
      </c>
      <c r="BR67" s="98">
        <v>13</v>
      </c>
      <c r="BT67" s="95">
        <f t="shared" si="76"/>
        <v>0.19340974212034384</v>
      </c>
      <c r="BU67" s="96">
        <f t="shared" si="77"/>
        <v>1.1461538461538461</v>
      </c>
      <c r="BV67" s="96">
        <f t="shared" si="78"/>
        <v>55.252525252525253</v>
      </c>
      <c r="BW67" s="96">
        <f t="shared" si="79"/>
        <v>0.73259259259259268</v>
      </c>
      <c r="BX67" s="99">
        <f t="shared" si="80"/>
        <v>20.152109873430582</v>
      </c>
      <c r="BY67" s="96">
        <f t="shared" si="81"/>
        <v>1.1461538461538461</v>
      </c>
      <c r="BZ67" s="97">
        <f t="shared" si="82"/>
        <v>4.4947209653092005E-4</v>
      </c>
      <c r="CA67" s="95">
        <f t="shared" si="50"/>
        <v>0.14037386796411638</v>
      </c>
      <c r="CB67" s="99">
        <f t="shared" si="83"/>
        <v>220.93257844622144</v>
      </c>
      <c r="CC67" s="99">
        <f t="shared" si="83"/>
        <v>21.274989035562065</v>
      </c>
      <c r="CD67" s="100">
        <f t="shared" si="35"/>
        <v>748.21992326512395</v>
      </c>
      <c r="CE67" s="100">
        <f t="shared" si="51"/>
        <v>787.9800956125074</v>
      </c>
      <c r="CF67" s="100">
        <f t="shared" si="23"/>
        <v>31.661685205706064</v>
      </c>
      <c r="CG67" s="96">
        <f t="shared" si="84"/>
        <v>-1.0721146437971218</v>
      </c>
      <c r="CH67" s="96">
        <f t="shared" si="52"/>
        <v>0.39837566117709877</v>
      </c>
      <c r="CJ67" s="95">
        <f t="shared" si="85"/>
        <v>9.2827004219409287E-2</v>
      </c>
      <c r="CK67" s="93">
        <f t="shared" si="86"/>
        <v>9.7385620915032689</v>
      </c>
      <c r="CL67" s="93">
        <f t="shared" si="87"/>
        <v>2.5157894736842104</v>
      </c>
      <c r="CM67" s="93">
        <f t="shared" si="88"/>
        <v>11.13490364025696</v>
      </c>
      <c r="CN67" s="93">
        <f t="shared" si="89"/>
        <v>55.555555555555557</v>
      </c>
      <c r="CO67" s="93">
        <f t="shared" si="90"/>
        <v>18.275862068965516</v>
      </c>
      <c r="CP67" s="93">
        <f t="shared" si="91"/>
        <v>305.1094890510949</v>
      </c>
      <c r="CQ67" s="93">
        <f t="shared" si="92"/>
        <v>529.41176470588232</v>
      </c>
      <c r="CR67" s="93">
        <f t="shared" si="93"/>
        <v>952.75590551181097</v>
      </c>
      <c r="CS67" s="93">
        <f t="shared" si="94"/>
        <v>1609.5406360424029</v>
      </c>
      <c r="CT67" s="93">
        <f t="shared" si="95"/>
        <v>2646.5256797583079</v>
      </c>
      <c r="CU67" s="93">
        <f t="shared" si="96"/>
        <v>3133.3333333333339</v>
      </c>
      <c r="CV67" s="93">
        <f t="shared" si="97"/>
        <v>4105.8823529411766</v>
      </c>
      <c r="CW67" s="93">
        <f t="shared" si="98"/>
        <v>5236.2204724409448</v>
      </c>
    </row>
    <row r="68" spans="1:101" s="118" customFormat="1">
      <c r="A68" s="111" t="s">
        <v>308</v>
      </c>
      <c r="B68" s="112" t="s">
        <v>244</v>
      </c>
      <c r="C68" s="111" t="s">
        <v>285</v>
      </c>
      <c r="D68" s="113">
        <v>11.003</v>
      </c>
      <c r="E68" s="114">
        <v>0.18978999999999999</v>
      </c>
      <c r="F68" s="114">
        <v>1.1000000000000001E-3</v>
      </c>
      <c r="G68" s="115">
        <v>13.625</v>
      </c>
      <c r="H68" s="116">
        <v>0.4</v>
      </c>
      <c r="I68" s="117">
        <v>0.52110000000000001</v>
      </c>
      <c r="J68" s="117">
        <v>1.4E-2</v>
      </c>
      <c r="K68" s="116">
        <v>0.65447</v>
      </c>
      <c r="M68" s="119">
        <v>2703.9</v>
      </c>
      <c r="N68" s="118">
        <v>60</v>
      </c>
      <c r="O68" s="119">
        <v>2740.3</v>
      </c>
      <c r="P68" s="118">
        <v>5.8</v>
      </c>
      <c r="Q68" s="113">
        <v>1.32</v>
      </c>
      <c r="R68" s="117">
        <v>4.7999999999999996E-3</v>
      </c>
      <c r="T68" s="118">
        <v>610</v>
      </c>
      <c r="U68" s="118">
        <v>140</v>
      </c>
      <c r="V68" s="118">
        <v>0.6</v>
      </c>
      <c r="W68" s="118">
        <v>1.2</v>
      </c>
      <c r="X68" s="118">
        <v>0.55000000000000004</v>
      </c>
      <c r="Y68" s="118">
        <v>0.37</v>
      </c>
      <c r="Z68" s="118">
        <v>2.5099999999999998</v>
      </c>
      <c r="AA68" s="118">
        <v>0.82</v>
      </c>
      <c r="AB68" s="118">
        <v>1.23</v>
      </c>
      <c r="AC68" s="118">
        <v>0.33</v>
      </c>
      <c r="AD68" s="118">
        <v>2410</v>
      </c>
      <c r="AE68" s="118">
        <v>240</v>
      </c>
      <c r="AF68" s="115">
        <v>1.63</v>
      </c>
      <c r="AG68" s="117">
        <v>0.13</v>
      </c>
      <c r="AH68" s="116">
        <v>14.1</v>
      </c>
      <c r="AI68" s="116">
        <v>2.4</v>
      </c>
      <c r="AJ68" s="115">
        <v>1.1599999999999999</v>
      </c>
      <c r="AK68" s="115">
        <v>0.15</v>
      </c>
      <c r="AL68" s="116">
        <v>10.7</v>
      </c>
      <c r="AM68" s="116">
        <v>2.2000000000000002</v>
      </c>
      <c r="AN68" s="116">
        <v>7.8</v>
      </c>
      <c r="AO68" s="116">
        <v>1.8</v>
      </c>
      <c r="AP68" s="116">
        <v>1.08</v>
      </c>
      <c r="AQ68" s="116">
        <v>0.26</v>
      </c>
      <c r="AR68" s="116">
        <v>56</v>
      </c>
      <c r="AS68" s="113">
        <v>10</v>
      </c>
      <c r="AT68" s="116">
        <v>17.5</v>
      </c>
      <c r="AU68" s="116">
        <v>2.2000000000000002</v>
      </c>
      <c r="AV68" s="119">
        <v>226</v>
      </c>
      <c r="AW68" s="118">
        <v>26</v>
      </c>
      <c r="AX68" s="118">
        <v>82.5</v>
      </c>
      <c r="AY68" s="116">
        <v>7.9</v>
      </c>
      <c r="AZ68" s="118">
        <v>391</v>
      </c>
      <c r="BA68" s="118">
        <v>38</v>
      </c>
      <c r="BB68" s="118">
        <v>73.400000000000006</v>
      </c>
      <c r="BC68" s="113">
        <v>8.5</v>
      </c>
      <c r="BD68" s="118">
        <v>621</v>
      </c>
      <c r="BE68" s="118">
        <v>64</v>
      </c>
      <c r="BF68" s="118">
        <v>118</v>
      </c>
      <c r="BG68" s="118">
        <v>12</v>
      </c>
      <c r="BI68" s="113">
        <v>8.6999999999999993</v>
      </c>
      <c r="BJ68" s="118">
        <v>2.9</v>
      </c>
      <c r="BK68" s="118">
        <v>565000</v>
      </c>
      <c r="BL68" s="118">
        <v>63000</v>
      </c>
      <c r="BM68" s="118">
        <v>10300</v>
      </c>
      <c r="BN68" s="118">
        <v>1200</v>
      </c>
      <c r="BO68" s="119">
        <v>127</v>
      </c>
      <c r="BP68" s="118">
        <v>14</v>
      </c>
      <c r="BQ68" s="119">
        <v>158</v>
      </c>
      <c r="BR68" s="118">
        <v>17</v>
      </c>
      <c r="CB68" s="119"/>
      <c r="CC68" s="119"/>
      <c r="CD68" s="120"/>
      <c r="CE68" s="100"/>
      <c r="CF68" s="100"/>
      <c r="CG68" s="116"/>
      <c r="CH68" s="96"/>
    </row>
    <row r="69" spans="1:101" s="98" customFormat="1">
      <c r="A69" s="3" t="s">
        <v>309</v>
      </c>
      <c r="B69" s="92" t="s">
        <v>244</v>
      </c>
      <c r="C69" s="3" t="s">
        <v>285</v>
      </c>
      <c r="D69" s="93">
        <v>11.068</v>
      </c>
      <c r="E69" s="94">
        <v>0.19023000000000001</v>
      </c>
      <c r="F69" s="94">
        <v>1E-3</v>
      </c>
      <c r="G69" s="95">
        <v>13.827999999999999</v>
      </c>
      <c r="H69" s="96">
        <v>0.41</v>
      </c>
      <c r="I69" s="97">
        <v>0.52769999999999995</v>
      </c>
      <c r="J69" s="95">
        <v>1.4E-2</v>
      </c>
      <c r="K69" s="96">
        <v>0.70869000000000004</v>
      </c>
      <c r="M69" s="99">
        <v>2731.8</v>
      </c>
      <c r="N69" s="98">
        <v>60</v>
      </c>
      <c r="O69" s="99">
        <v>2743.5</v>
      </c>
      <c r="P69" s="98">
        <v>4.2</v>
      </c>
      <c r="Q69" s="93">
        <v>0.43</v>
      </c>
      <c r="R69" s="97">
        <v>2.3E-3</v>
      </c>
      <c r="T69" s="98">
        <v>190</v>
      </c>
      <c r="U69" s="98">
        <v>120</v>
      </c>
      <c r="V69" s="98">
        <v>0.2</v>
      </c>
      <c r="W69" s="98">
        <v>1.3</v>
      </c>
      <c r="X69" s="98">
        <v>0.17</v>
      </c>
      <c r="Y69" s="98">
        <v>0.14000000000000001</v>
      </c>
      <c r="Z69" s="98">
        <v>3.73</v>
      </c>
      <c r="AA69" s="98">
        <v>0.89</v>
      </c>
      <c r="AB69" s="98">
        <v>1.0900000000000001</v>
      </c>
      <c r="AC69" s="98">
        <v>0.39</v>
      </c>
      <c r="AD69" s="98">
        <v>1500</v>
      </c>
      <c r="AE69" s="98">
        <v>150</v>
      </c>
      <c r="AF69" s="95" t="s">
        <v>250</v>
      </c>
      <c r="AG69" s="97" t="s">
        <v>250</v>
      </c>
      <c r="AH69" s="96">
        <v>6.25</v>
      </c>
      <c r="AI69" s="96">
        <v>0.9</v>
      </c>
      <c r="AJ69" s="95">
        <v>7.8E-2</v>
      </c>
      <c r="AK69" s="95">
        <v>4.2000000000000003E-2</v>
      </c>
      <c r="AL69" s="96">
        <v>2.02</v>
      </c>
      <c r="AM69" s="96">
        <v>0.63</v>
      </c>
      <c r="AN69" s="96">
        <v>4.4000000000000004</v>
      </c>
      <c r="AO69" s="96">
        <v>1.2</v>
      </c>
      <c r="AP69" s="96">
        <v>0.45</v>
      </c>
      <c r="AQ69" s="96">
        <v>0.16</v>
      </c>
      <c r="AR69" s="96">
        <v>28.5</v>
      </c>
      <c r="AS69" s="93">
        <v>4.3</v>
      </c>
      <c r="AT69" s="96">
        <v>8.74</v>
      </c>
      <c r="AU69" s="96">
        <v>0.96</v>
      </c>
      <c r="AV69" s="99">
        <v>118</v>
      </c>
      <c r="AW69" s="98">
        <v>10</v>
      </c>
      <c r="AX69" s="98">
        <v>46.7</v>
      </c>
      <c r="AY69" s="96">
        <v>3.7</v>
      </c>
      <c r="AZ69" s="98">
        <v>234</v>
      </c>
      <c r="BA69" s="98">
        <v>16</v>
      </c>
      <c r="BB69" s="98">
        <v>48</v>
      </c>
      <c r="BC69" s="93">
        <v>3.8</v>
      </c>
      <c r="BD69" s="98">
        <v>425</v>
      </c>
      <c r="BE69" s="98">
        <v>36</v>
      </c>
      <c r="BF69" s="98">
        <v>86.9</v>
      </c>
      <c r="BG69" s="99">
        <v>8.5</v>
      </c>
      <c r="BI69" s="93">
        <v>8.1999999999999993</v>
      </c>
      <c r="BJ69" s="98">
        <v>2.9</v>
      </c>
      <c r="BK69" s="98">
        <v>534000</v>
      </c>
      <c r="BL69" s="98">
        <v>50000</v>
      </c>
      <c r="BM69" s="98">
        <v>9750</v>
      </c>
      <c r="BN69" s="98">
        <v>960</v>
      </c>
      <c r="BO69" s="99">
        <v>66.099999999999994</v>
      </c>
      <c r="BP69" s="98">
        <v>4.2</v>
      </c>
      <c r="BQ69" s="99">
        <v>109.3</v>
      </c>
      <c r="BR69" s="98">
        <v>7.3</v>
      </c>
      <c r="BT69" s="95">
        <f>BQ69/BD69</f>
        <v>0.25717647058823528</v>
      </c>
      <c r="BU69" s="96">
        <f>AH69/AL69</f>
        <v>3.0940594059405941</v>
      </c>
      <c r="BV69" s="96">
        <f>BK69/BM69</f>
        <v>54.769230769230766</v>
      </c>
      <c r="BW69" s="96">
        <f>BO69/BQ69</f>
        <v>0.6047575480329368</v>
      </c>
      <c r="BX69" s="99"/>
      <c r="BY69" s="96">
        <f>AH69/AL69</f>
        <v>3.0940594059405941</v>
      </c>
      <c r="BZ69" s="97">
        <f>(AH69/AL69)/AD69</f>
        <v>2.0627062706270629E-3</v>
      </c>
      <c r="CA69" s="95">
        <f t="shared" si="50"/>
        <v>0.12285345665643942</v>
      </c>
      <c r="CB69" s="99">
        <f t="shared" ref="CB69:CC69" si="99">BQ69*(EXP(0.0001551*2740)+0.0072*EXP(2740*0.0009849))</f>
        <v>178.87356166053334</v>
      </c>
      <c r="CC69" s="99">
        <f t="shared" si="99"/>
        <v>11.946724612277158</v>
      </c>
      <c r="CD69" s="100">
        <f t="shared" si="35"/>
        <v>754.19285617902563</v>
      </c>
      <c r="CE69" s="100">
        <f t="shared" si="51"/>
        <v>794.4285799645246</v>
      </c>
      <c r="CF69" s="100">
        <f t="shared" si="23"/>
        <v>38.691842485334142</v>
      </c>
      <c r="CG69" s="96">
        <f>2.28+3.99*LOG(AH69/((CB69*BI69)^(1/2)))</f>
        <v>-0.86132694468633808</v>
      </c>
      <c r="CH69" s="96">
        <f t="shared" si="52"/>
        <v>0.41779797870865376</v>
      </c>
      <c r="CJ69" s="95"/>
      <c r="CK69" s="93">
        <f>AH69/CK$4</f>
        <v>10.212418300653596</v>
      </c>
      <c r="CL69" s="93">
        <f>AJ69/CL$4</f>
        <v>0.82105263157894737</v>
      </c>
      <c r="CM69" s="93">
        <f>AL69/CM$4</f>
        <v>4.3254817987152032</v>
      </c>
      <c r="CN69" s="93">
        <f>AN69/CN$4</f>
        <v>28.758169934640527</v>
      </c>
      <c r="CO69" s="93">
        <f>AP69/CO$4</f>
        <v>7.7586206896551726</v>
      </c>
      <c r="CP69" s="93">
        <f>AR69/CP$4</f>
        <v>138.68613138686132</v>
      </c>
      <c r="CQ69" s="93">
        <f>AT69/CQ$4</f>
        <v>233.68983957219251</v>
      </c>
      <c r="CR69" s="93">
        <f>AV69/CR$4</f>
        <v>464.56692913385825</v>
      </c>
      <c r="CS69" s="93">
        <f>AX69/CS$4</f>
        <v>825.08833922261488</v>
      </c>
      <c r="CT69" s="93">
        <f>AZ69/CT$4</f>
        <v>1413.8972809667673</v>
      </c>
      <c r="CU69" s="93">
        <f>BB69/CU$4</f>
        <v>1882.3529411764707</v>
      </c>
      <c r="CV69" s="93">
        <f>BD69/CV$4</f>
        <v>2500</v>
      </c>
      <c r="CW69" s="93">
        <f>BF69/CW$4</f>
        <v>3421.2598425196852</v>
      </c>
    </row>
    <row r="70" spans="1:101" s="118" customFormat="1">
      <c r="A70" s="111" t="s">
        <v>310</v>
      </c>
      <c r="B70" s="111" t="s">
        <v>268</v>
      </c>
      <c r="C70" s="111"/>
      <c r="D70" s="113">
        <v>6.2027999999999999</v>
      </c>
      <c r="E70" s="114">
        <v>0.19</v>
      </c>
      <c r="F70" s="114">
        <v>1.1999999999999999E-3</v>
      </c>
      <c r="G70" s="115">
        <v>13.82</v>
      </c>
      <c r="H70" s="116">
        <v>0.43</v>
      </c>
      <c r="I70" s="117">
        <v>0.52880000000000005</v>
      </c>
      <c r="J70" s="117">
        <v>1.4999999999999999E-2</v>
      </c>
      <c r="K70" s="116">
        <v>0.94957999999999998</v>
      </c>
      <c r="M70" s="119">
        <v>2736</v>
      </c>
      <c r="N70" s="118">
        <v>62</v>
      </c>
      <c r="O70" s="119">
        <v>2743.6</v>
      </c>
      <c r="P70" s="118">
        <v>4.4000000000000004</v>
      </c>
      <c r="Q70" s="113">
        <v>0.3</v>
      </c>
      <c r="R70" s="117">
        <v>5.1999999999999998E-3</v>
      </c>
      <c r="T70" s="118">
        <v>310</v>
      </c>
      <c r="U70" s="118">
        <v>140</v>
      </c>
      <c r="V70" s="118">
        <v>0.4</v>
      </c>
      <c r="W70" s="118">
        <v>1.3</v>
      </c>
      <c r="X70" s="118">
        <v>1.82</v>
      </c>
      <c r="Y70" s="118">
        <v>0.59</v>
      </c>
      <c r="Z70" s="118">
        <v>3.41</v>
      </c>
      <c r="AA70" s="118">
        <v>0.86</v>
      </c>
      <c r="AB70" s="118">
        <v>0.98</v>
      </c>
      <c r="AC70" s="118">
        <v>0.37</v>
      </c>
      <c r="AD70" s="118">
        <v>2080</v>
      </c>
      <c r="AE70" s="118">
        <v>190</v>
      </c>
      <c r="AF70" s="115">
        <v>14.2</v>
      </c>
      <c r="AG70" s="117">
        <v>3</v>
      </c>
      <c r="AH70" s="116">
        <v>35.6</v>
      </c>
      <c r="AI70" s="116">
        <v>8.1</v>
      </c>
      <c r="AJ70" s="115">
        <v>4.6399999999999997</v>
      </c>
      <c r="AK70" s="115">
        <v>0.83</v>
      </c>
      <c r="AL70" s="116">
        <v>22.9</v>
      </c>
      <c r="AM70" s="116">
        <v>4.9000000000000004</v>
      </c>
      <c r="AN70" s="116">
        <v>14.1</v>
      </c>
      <c r="AO70" s="116">
        <v>2.4</v>
      </c>
      <c r="AP70" s="116">
        <v>2.41</v>
      </c>
      <c r="AQ70" s="116">
        <v>0.75</v>
      </c>
      <c r="AR70" s="116">
        <v>54.5</v>
      </c>
      <c r="AS70" s="113">
        <v>5.8</v>
      </c>
      <c r="AT70" s="116">
        <v>16.600000000000001</v>
      </c>
      <c r="AU70" s="116">
        <v>2.8</v>
      </c>
      <c r="AV70" s="119">
        <v>196</v>
      </c>
      <c r="AW70" s="118">
        <v>18</v>
      </c>
      <c r="AX70" s="118">
        <v>69.400000000000006</v>
      </c>
      <c r="AY70" s="116">
        <v>6.1</v>
      </c>
      <c r="AZ70" s="118">
        <v>303</v>
      </c>
      <c r="BA70" s="118">
        <v>34</v>
      </c>
      <c r="BB70" s="118">
        <v>59.2</v>
      </c>
      <c r="BC70" s="113">
        <v>7.7</v>
      </c>
      <c r="BD70" s="118">
        <v>479</v>
      </c>
      <c r="BE70" s="118">
        <v>40</v>
      </c>
      <c r="BF70" s="118">
        <v>93</v>
      </c>
      <c r="BG70" s="118">
        <v>13</v>
      </c>
      <c r="BI70" s="113">
        <v>31.2</v>
      </c>
      <c r="BJ70" s="118">
        <v>7.8</v>
      </c>
      <c r="BK70" s="118">
        <v>511000</v>
      </c>
      <c r="BL70" s="118">
        <v>60000</v>
      </c>
      <c r="BM70" s="118">
        <v>9390</v>
      </c>
      <c r="BN70" s="118">
        <v>730</v>
      </c>
      <c r="BO70" s="119">
        <v>132</v>
      </c>
      <c r="BP70" s="118">
        <v>13</v>
      </c>
      <c r="BQ70" s="119">
        <v>121</v>
      </c>
      <c r="BR70" s="118">
        <v>11</v>
      </c>
      <c r="CB70" s="119"/>
      <c r="CC70" s="119"/>
      <c r="CD70" s="120"/>
      <c r="CE70" s="100"/>
      <c r="CF70" s="100"/>
      <c r="CG70" s="116"/>
      <c r="CH70" s="96"/>
    </row>
    <row r="71" spans="1:101" s="98" customFormat="1">
      <c r="A71" s="3" t="s">
        <v>311</v>
      </c>
      <c r="B71" s="3" t="s">
        <v>268</v>
      </c>
      <c r="C71" s="3"/>
      <c r="D71" s="93">
        <v>5.8391999999999999</v>
      </c>
      <c r="E71" s="94">
        <v>0.19020000000000001</v>
      </c>
      <c r="F71" s="94">
        <v>1.1000000000000001E-3</v>
      </c>
      <c r="G71" s="95">
        <v>13.811</v>
      </c>
      <c r="H71" s="96">
        <v>0.34</v>
      </c>
      <c r="I71" s="97">
        <v>0.52800000000000002</v>
      </c>
      <c r="J71" s="95">
        <v>1.0999999999999999E-2</v>
      </c>
      <c r="K71" s="96">
        <v>0.59580999999999995</v>
      </c>
      <c r="M71" s="99">
        <v>2733.2</v>
      </c>
      <c r="N71" s="98">
        <v>48</v>
      </c>
      <c r="O71" s="99">
        <v>2743.9</v>
      </c>
      <c r="P71" s="98">
        <v>3.8</v>
      </c>
      <c r="Q71" s="93">
        <v>0.39</v>
      </c>
      <c r="R71" s="97">
        <v>1.2999999999999999E-3</v>
      </c>
      <c r="T71" s="98">
        <v>333</v>
      </c>
      <c r="U71" s="98">
        <v>97</v>
      </c>
      <c r="V71" s="98">
        <v>0.3</v>
      </c>
      <c r="W71" s="98">
        <v>1</v>
      </c>
      <c r="X71" s="98">
        <v>0.52</v>
      </c>
      <c r="Y71" s="98">
        <v>0.43</v>
      </c>
      <c r="Z71" s="98">
        <v>2.73</v>
      </c>
      <c r="AA71" s="98">
        <v>0.46</v>
      </c>
      <c r="AB71" s="98">
        <v>1.05</v>
      </c>
      <c r="AC71" s="98">
        <v>0.39</v>
      </c>
      <c r="AD71" s="98">
        <v>1840</v>
      </c>
      <c r="AE71" s="98">
        <v>180</v>
      </c>
      <c r="AF71" s="95">
        <v>1.0999999999999999E-2</v>
      </c>
      <c r="AG71" s="97">
        <v>0.01</v>
      </c>
      <c r="AH71" s="96">
        <v>5.8</v>
      </c>
      <c r="AI71" s="96">
        <v>1.2</v>
      </c>
      <c r="AJ71" s="95">
        <v>0.13</v>
      </c>
      <c r="AK71" s="95">
        <v>4.7E-2</v>
      </c>
      <c r="AL71" s="96">
        <v>1.41</v>
      </c>
      <c r="AM71" s="96">
        <v>0.76</v>
      </c>
      <c r="AN71" s="96">
        <v>5.7</v>
      </c>
      <c r="AO71" s="96">
        <v>1.4</v>
      </c>
      <c r="AP71" s="96">
        <v>0.77</v>
      </c>
      <c r="AQ71" s="96">
        <v>0.36</v>
      </c>
      <c r="AR71" s="96">
        <v>38.200000000000003</v>
      </c>
      <c r="AS71" s="93">
        <v>7</v>
      </c>
      <c r="AT71" s="96">
        <v>13.3</v>
      </c>
      <c r="AU71" s="96">
        <v>1.4</v>
      </c>
      <c r="AV71" s="99">
        <v>164</v>
      </c>
      <c r="AW71" s="98">
        <v>16</v>
      </c>
      <c r="AX71" s="98">
        <v>59.8</v>
      </c>
      <c r="AY71" s="96">
        <v>6.8</v>
      </c>
      <c r="AZ71" s="98">
        <v>294</v>
      </c>
      <c r="BA71" s="98">
        <v>33</v>
      </c>
      <c r="BB71" s="98">
        <v>55.7</v>
      </c>
      <c r="BC71" s="93">
        <v>6.3</v>
      </c>
      <c r="BD71" s="98">
        <v>454</v>
      </c>
      <c r="BE71" s="98">
        <v>46</v>
      </c>
      <c r="BF71" s="98">
        <v>91.3</v>
      </c>
      <c r="BG71" s="99">
        <v>7.9</v>
      </c>
      <c r="BI71" s="93">
        <v>6.8</v>
      </c>
      <c r="BJ71" s="98">
        <v>2.2999999999999998</v>
      </c>
      <c r="BK71" s="98">
        <v>522000</v>
      </c>
      <c r="BL71" s="98">
        <v>46000</v>
      </c>
      <c r="BM71" s="98">
        <v>9430</v>
      </c>
      <c r="BN71" s="98">
        <v>850</v>
      </c>
      <c r="BO71" s="99">
        <v>74.8</v>
      </c>
      <c r="BP71" s="98">
        <v>6</v>
      </c>
      <c r="BQ71" s="99">
        <v>109.5</v>
      </c>
      <c r="BR71" s="98">
        <v>8.8000000000000007</v>
      </c>
      <c r="BT71" s="95">
        <f>BQ71/BD71</f>
        <v>0.24118942731277532</v>
      </c>
      <c r="BU71" s="96">
        <f>AH71/AL71</f>
        <v>4.1134751773049647</v>
      </c>
      <c r="BV71" s="96">
        <f>BK71/BM71</f>
        <v>55.355249204665959</v>
      </c>
      <c r="BW71" s="96">
        <f>BO71/BQ71</f>
        <v>0.68310502283105023</v>
      </c>
      <c r="BX71" s="99">
        <f>CK71/SQRT(CJ71*CL71)</f>
        <v>37.604907810879304</v>
      </c>
      <c r="BY71" s="96">
        <f>AH71/AL71</f>
        <v>4.1134751773049647</v>
      </c>
      <c r="BZ71" s="97">
        <f>(AH71/AL71)/AD71</f>
        <v>2.2355843354918289E-3</v>
      </c>
      <c r="CA71" s="95">
        <f t="shared" si="50"/>
        <v>0.15953105998884107</v>
      </c>
      <c r="CB71" s="99">
        <f t="shared" ref="CB71:CC81" si="100">BQ71*(EXP(0.0001551*2740)+0.0072*EXP(2740*0.0009849))</f>
        <v>179.20086918415737</v>
      </c>
      <c r="CC71" s="99">
        <f t="shared" si="100"/>
        <v>14.401531039457398</v>
      </c>
      <c r="CD71" s="100">
        <f t="shared" si="35"/>
        <v>736.62114500649989</v>
      </c>
      <c r="CE71" s="100">
        <f t="shared" si="51"/>
        <v>775.46623155621057</v>
      </c>
      <c r="CF71" s="100">
        <f t="shared" ref="CF71:CF130" si="101">((((4800^2)*(BI71^2)*(0.072^2)+(4800^2)*(BJ71^2)+(BI71^2)*(86^2)*((5.711-LOG(BI71))^2))/((BI71^2)*(5.711-LOG(BI71))^4))^(1/2))/2</f>
        <v>35.969119853690607</v>
      </c>
      <c r="CG71" s="96">
        <f>2.28+3.99*LOG(AH71/((CB71*BI71)^(1/2)))</f>
        <v>-0.83019110958324216</v>
      </c>
      <c r="CH71" s="96">
        <f t="shared" si="52"/>
        <v>0.51070646328931346</v>
      </c>
      <c r="CJ71" s="95">
        <f>AF71/CJ$4</f>
        <v>4.6413502109704644E-2</v>
      </c>
      <c r="CK71" s="93">
        <f>AH71/CK$4</f>
        <v>9.477124183006536</v>
      </c>
      <c r="CL71" s="93">
        <f>AJ71/CL$4</f>
        <v>1.368421052631579</v>
      </c>
      <c r="CM71" s="93">
        <f>AL71/CM$4</f>
        <v>3.0192719486081367</v>
      </c>
      <c r="CN71" s="93">
        <f>AN71/CN$4</f>
        <v>37.254901960784316</v>
      </c>
      <c r="CO71" s="93">
        <f>AP71/CO$4</f>
        <v>13.275862068965516</v>
      </c>
      <c r="CP71" s="93">
        <f>AR71/CP$4</f>
        <v>185.88807785888079</v>
      </c>
      <c r="CQ71" s="93">
        <f>AT71/CQ$4</f>
        <v>355.61497326203209</v>
      </c>
      <c r="CR71" s="93">
        <f>AV71/CR$4</f>
        <v>645.66929133858264</v>
      </c>
      <c r="CS71" s="93">
        <f>AX71/CS$4</f>
        <v>1056.5371024734982</v>
      </c>
      <c r="CT71" s="93">
        <f>AZ71/CT$4</f>
        <v>1776.4350453172206</v>
      </c>
      <c r="CU71" s="93">
        <f>BB71/CU$4</f>
        <v>2184.3137254901962</v>
      </c>
      <c r="CV71" s="93">
        <f>BD71/CV$4</f>
        <v>2670.5882352941176</v>
      </c>
      <c r="CW71" s="93">
        <f>BF71/CW$4</f>
        <v>3594.4881889763778</v>
      </c>
    </row>
    <row r="72" spans="1:101" s="98" customFormat="1">
      <c r="A72" s="3" t="s">
        <v>312</v>
      </c>
      <c r="B72" s="3" t="s">
        <v>268</v>
      </c>
      <c r="C72" s="3"/>
      <c r="D72" s="93">
        <v>7.0209999999999999</v>
      </c>
      <c r="E72" s="94">
        <v>0.19189999999999999</v>
      </c>
      <c r="F72" s="94">
        <v>1.6000000000000001E-3</v>
      </c>
      <c r="G72" s="95">
        <v>14</v>
      </c>
      <c r="H72" s="96">
        <v>0.36</v>
      </c>
      <c r="I72" s="97">
        <v>0.53010000000000002</v>
      </c>
      <c r="J72" s="95">
        <v>1.0999999999999999E-2</v>
      </c>
      <c r="K72" s="96">
        <v>0.59569000000000005</v>
      </c>
      <c r="M72" s="99">
        <v>2741.7</v>
      </c>
      <c r="N72" s="98">
        <v>48</v>
      </c>
      <c r="O72" s="99">
        <v>2758.1</v>
      </c>
      <c r="P72" s="98">
        <v>9.6999999999999993</v>
      </c>
      <c r="Q72" s="93">
        <v>0.59</v>
      </c>
      <c r="R72" s="97">
        <v>2.5999999999999999E-3</v>
      </c>
      <c r="T72" s="98">
        <v>390</v>
      </c>
      <c r="U72" s="98">
        <v>100</v>
      </c>
      <c r="V72" s="98" t="s">
        <v>250</v>
      </c>
      <c r="W72" s="98" t="s">
        <v>250</v>
      </c>
      <c r="X72" s="98">
        <v>0.74</v>
      </c>
      <c r="Y72" s="98">
        <v>0.45</v>
      </c>
      <c r="Z72" s="98">
        <v>2.83</v>
      </c>
      <c r="AA72" s="98">
        <v>0.69</v>
      </c>
      <c r="AB72" s="98">
        <v>0.81</v>
      </c>
      <c r="AC72" s="98">
        <v>0.17</v>
      </c>
      <c r="AD72" s="98">
        <v>1890</v>
      </c>
      <c r="AE72" s="98">
        <v>190</v>
      </c>
      <c r="AF72" s="95">
        <v>0.157</v>
      </c>
      <c r="AG72" s="97">
        <v>5.5E-2</v>
      </c>
      <c r="AH72" s="96">
        <v>5.94</v>
      </c>
      <c r="AI72" s="96">
        <v>0.93</v>
      </c>
      <c r="AJ72" s="95">
        <v>0.20300000000000001</v>
      </c>
      <c r="AK72" s="95">
        <v>5.1999999999999998E-2</v>
      </c>
      <c r="AL72" s="96">
        <v>2.4900000000000002</v>
      </c>
      <c r="AM72" s="96">
        <v>0.55000000000000004</v>
      </c>
      <c r="AN72" s="96">
        <v>5</v>
      </c>
      <c r="AO72" s="96">
        <v>1.3</v>
      </c>
      <c r="AP72" s="96">
        <v>0.84</v>
      </c>
      <c r="AQ72" s="96">
        <v>0.25</v>
      </c>
      <c r="AR72" s="96">
        <v>35</v>
      </c>
      <c r="AS72" s="93">
        <v>5.4</v>
      </c>
      <c r="AT72" s="96">
        <v>13.2</v>
      </c>
      <c r="AU72" s="96">
        <v>1.2</v>
      </c>
      <c r="AV72" s="99">
        <v>166</v>
      </c>
      <c r="AW72" s="98">
        <v>17</v>
      </c>
      <c r="AX72" s="98">
        <v>63.1</v>
      </c>
      <c r="AY72" s="96">
        <v>4.3</v>
      </c>
      <c r="AZ72" s="98">
        <v>309</v>
      </c>
      <c r="BA72" s="98">
        <v>29</v>
      </c>
      <c r="BB72" s="98">
        <v>60.7</v>
      </c>
      <c r="BC72" s="93">
        <v>4.0999999999999996</v>
      </c>
      <c r="BD72" s="98">
        <v>515</v>
      </c>
      <c r="BE72" s="98">
        <v>38</v>
      </c>
      <c r="BF72" s="98">
        <v>104.5</v>
      </c>
      <c r="BG72" s="99">
        <v>8.6</v>
      </c>
      <c r="BI72" s="93">
        <v>9.1999999999999993</v>
      </c>
      <c r="BJ72" s="98">
        <v>2.9</v>
      </c>
      <c r="BK72" s="98">
        <v>545000</v>
      </c>
      <c r="BL72" s="98">
        <v>54000</v>
      </c>
      <c r="BM72" s="98">
        <v>8800</v>
      </c>
      <c r="BN72" s="98">
        <v>810</v>
      </c>
      <c r="BO72" s="99">
        <v>68.599999999999994</v>
      </c>
      <c r="BP72" s="98">
        <v>5</v>
      </c>
      <c r="BQ72" s="99">
        <v>122.7</v>
      </c>
      <c r="BR72" s="98">
        <v>8.6</v>
      </c>
      <c r="BT72" s="95">
        <f>BQ72/BD72</f>
        <v>0.23825242718446601</v>
      </c>
      <c r="BU72" s="96">
        <f>AH72/AL72</f>
        <v>2.3855421686746987</v>
      </c>
      <c r="BV72" s="96">
        <f>BK72/BM72</f>
        <v>61.93181818181818</v>
      </c>
      <c r="BW72" s="96">
        <f>BO72/BQ72</f>
        <v>0.55908720456397709</v>
      </c>
      <c r="BX72" s="99">
        <f>CK72/SQRT(CJ72*CL72)</f>
        <v>8.1578018700535218</v>
      </c>
      <c r="BY72" s="96">
        <f>AH72/AL72</f>
        <v>2.3855421686746987</v>
      </c>
      <c r="BZ72" s="97">
        <f>(AH72/AL72)/AD72</f>
        <v>1.2621916236374067E-3</v>
      </c>
      <c r="CA72" s="95">
        <f t="shared" si="50"/>
        <v>0.19412608526363984</v>
      </c>
      <c r="CB72" s="99">
        <f t="shared" si="100"/>
        <v>200.80316574334347</v>
      </c>
      <c r="CC72" s="99">
        <f t="shared" si="100"/>
        <v>14.074223515833365</v>
      </c>
      <c r="CD72" s="100">
        <f t="shared" si="35"/>
        <v>765.30003252466202</v>
      </c>
      <c r="CE72" s="100">
        <f t="shared" si="51"/>
        <v>806.42789602967389</v>
      </c>
      <c r="CF72" s="100">
        <f t="shared" si="101"/>
        <v>35.605447128036815</v>
      </c>
      <c r="CG72" s="96">
        <f>2.28+3.99*LOG(AH72/((CB72*BI72)^(1/2)))</f>
        <v>-1.1493760580138206</v>
      </c>
      <c r="CH72" s="96">
        <f t="shared" si="52"/>
        <v>0.39681007186856365</v>
      </c>
      <c r="CJ72" s="95">
        <f>AF72/CJ$4</f>
        <v>0.66244725738396626</v>
      </c>
      <c r="CK72" s="93">
        <f>AH72/CK$4</f>
        <v>9.7058823529411775</v>
      </c>
      <c r="CL72" s="93">
        <f>AJ72/CL$4</f>
        <v>2.1368421052631579</v>
      </c>
      <c r="CM72" s="93">
        <f>AL72/CM$4</f>
        <v>5.3319057815845827</v>
      </c>
      <c r="CN72" s="93">
        <f>AN72/CN$4</f>
        <v>32.679738562091501</v>
      </c>
      <c r="CO72" s="93">
        <f>AP72/CO$4</f>
        <v>14.482758620689653</v>
      </c>
      <c r="CP72" s="93">
        <f>AR72/CP$4</f>
        <v>170.31630170316302</v>
      </c>
      <c r="CQ72" s="93">
        <f>AT72/CQ$4</f>
        <v>352.94117647058818</v>
      </c>
      <c r="CR72" s="93">
        <f>AV72/CR$4</f>
        <v>653.54330708661416</v>
      </c>
      <c r="CS72" s="93">
        <f>AX72/CS$4</f>
        <v>1114.8409893992934</v>
      </c>
      <c r="CT72" s="93">
        <f>AZ72/CT$4</f>
        <v>1867.0694864048337</v>
      </c>
      <c r="CU72" s="93">
        <f>BB72/CU$4</f>
        <v>2380.3921568627452</v>
      </c>
      <c r="CV72" s="93">
        <f>BD72/CV$4</f>
        <v>3029.411764705882</v>
      </c>
      <c r="CW72" s="93">
        <f>BF72/CW$4</f>
        <v>4114.1732283464571</v>
      </c>
    </row>
    <row r="73" spans="1:101" s="98" customFormat="1">
      <c r="A73" s="3" t="s">
        <v>313</v>
      </c>
      <c r="B73" s="3" t="s">
        <v>268</v>
      </c>
      <c r="C73" s="3"/>
      <c r="D73" s="93">
        <v>6.3170000000000002</v>
      </c>
      <c r="E73" s="94">
        <v>0.18947</v>
      </c>
      <c r="F73" s="94">
        <v>7.2999999999999996E-4</v>
      </c>
      <c r="G73" s="95">
        <v>14.045</v>
      </c>
      <c r="H73" s="96">
        <v>0.35</v>
      </c>
      <c r="I73" s="97">
        <v>0.53890000000000005</v>
      </c>
      <c r="J73" s="95">
        <v>1.2E-2</v>
      </c>
      <c r="K73" s="96">
        <v>0.84145000000000003</v>
      </c>
      <c r="M73" s="99">
        <v>2779</v>
      </c>
      <c r="N73" s="98">
        <v>49</v>
      </c>
      <c r="O73" s="99">
        <v>2737.4</v>
      </c>
      <c r="P73" s="98">
        <v>3.2</v>
      </c>
      <c r="Q73" s="93">
        <v>-1.52</v>
      </c>
      <c r="R73" s="97">
        <v>0</v>
      </c>
      <c r="T73" s="98">
        <v>330</v>
      </c>
      <c r="U73" s="98">
        <v>130</v>
      </c>
      <c r="V73" s="98">
        <v>0.46</v>
      </c>
      <c r="W73" s="98">
        <v>0.9</v>
      </c>
      <c r="X73" s="98">
        <v>0.1</v>
      </c>
      <c r="Y73" s="98">
        <v>0.14000000000000001</v>
      </c>
      <c r="Z73" s="98">
        <v>3.09</v>
      </c>
      <c r="AA73" s="98">
        <v>0.81</v>
      </c>
      <c r="AB73" s="98">
        <v>1.35</v>
      </c>
      <c r="AC73" s="98">
        <v>0.5</v>
      </c>
      <c r="AD73" s="98">
        <v>3230</v>
      </c>
      <c r="AE73" s="98">
        <v>250</v>
      </c>
      <c r="AF73" s="95">
        <v>2.9000000000000001E-2</v>
      </c>
      <c r="AG73" s="97">
        <v>1.7999999999999999E-2</v>
      </c>
      <c r="AH73" s="96">
        <v>6.5</v>
      </c>
      <c r="AI73" s="96">
        <v>1.5</v>
      </c>
      <c r="AJ73" s="95">
        <v>0.36</v>
      </c>
      <c r="AK73" s="95">
        <v>0.12</v>
      </c>
      <c r="AL73" s="96">
        <v>5.6</v>
      </c>
      <c r="AM73" s="96">
        <v>1.4</v>
      </c>
      <c r="AN73" s="96">
        <v>10.9</v>
      </c>
      <c r="AO73" s="96">
        <v>2</v>
      </c>
      <c r="AP73" s="96">
        <v>1.34</v>
      </c>
      <c r="AQ73" s="96">
        <v>0.39</v>
      </c>
      <c r="AR73" s="96">
        <v>64.7</v>
      </c>
      <c r="AS73" s="93">
        <v>6.6</v>
      </c>
      <c r="AT73" s="96">
        <v>23.8</v>
      </c>
      <c r="AU73" s="96">
        <v>3.4</v>
      </c>
      <c r="AV73" s="99">
        <v>296</v>
      </c>
      <c r="AW73" s="98">
        <v>24</v>
      </c>
      <c r="AX73" s="98">
        <v>116</v>
      </c>
      <c r="AY73" s="96">
        <v>12</v>
      </c>
      <c r="AZ73" s="98">
        <v>497</v>
      </c>
      <c r="BA73" s="98">
        <v>45</v>
      </c>
      <c r="BB73" s="98">
        <v>91.2</v>
      </c>
      <c r="BC73" s="93">
        <v>9.1</v>
      </c>
      <c r="BD73" s="98">
        <v>784</v>
      </c>
      <c r="BE73" s="98">
        <v>55</v>
      </c>
      <c r="BF73" s="98">
        <v>143</v>
      </c>
      <c r="BG73" s="99">
        <v>16</v>
      </c>
      <c r="BI73" s="93">
        <v>3.7</v>
      </c>
      <c r="BJ73" s="98">
        <v>2.2000000000000002</v>
      </c>
      <c r="BK73" s="98">
        <v>498000</v>
      </c>
      <c r="BL73" s="98">
        <v>30000</v>
      </c>
      <c r="BM73" s="98">
        <v>8830</v>
      </c>
      <c r="BN73" s="98">
        <v>710</v>
      </c>
      <c r="BO73" s="99">
        <v>123</v>
      </c>
      <c r="BP73" s="98">
        <v>11</v>
      </c>
      <c r="BQ73" s="99">
        <v>157</v>
      </c>
      <c r="BR73" s="98">
        <v>13</v>
      </c>
      <c r="BT73" s="95">
        <f>BQ73/BD73</f>
        <v>0.20025510204081631</v>
      </c>
      <c r="BU73" s="96">
        <f>AH73/AL73</f>
        <v>1.1607142857142858</v>
      </c>
      <c r="BV73" s="96">
        <f>BK73/BM73</f>
        <v>56.398640996602488</v>
      </c>
      <c r="BW73" s="96">
        <f>BO73/BQ73</f>
        <v>0.78343949044585992</v>
      </c>
      <c r="BX73" s="99">
        <f>CK73/SQRT(CJ73*CL73)</f>
        <v>15.597236623121306</v>
      </c>
      <c r="BY73" s="96">
        <f>AH73/AL73</f>
        <v>1.1607142857142858</v>
      </c>
      <c r="BZ73" s="97">
        <f>(AH73/AL73)/AD73</f>
        <v>3.5935426802299869E-4</v>
      </c>
      <c r="CA73" s="95">
        <f t="shared" si="50"/>
        <v>0.15426345148055512</v>
      </c>
      <c r="CB73" s="99">
        <f t="shared" si="100"/>
        <v>256.9364060448649</v>
      </c>
      <c r="CC73" s="99">
        <f t="shared" si="100"/>
        <v>21.274989035562065</v>
      </c>
      <c r="CD73" s="100">
        <f t="shared" si="35"/>
        <v>683.43317304074549</v>
      </c>
      <c r="CE73" s="100">
        <f t="shared" si="51"/>
        <v>718.22334175217838</v>
      </c>
      <c r="CF73" s="100">
        <f t="shared" si="101"/>
        <v>54.988713495783834</v>
      </c>
      <c r="CG73" s="96">
        <f>2.28+3.99*LOG(AH73/((CB73*BI73)^(1/2)))</f>
        <v>-0.41764030835910937</v>
      </c>
      <c r="CH73" s="96">
        <f t="shared" si="52"/>
        <v>0.74467806349737287</v>
      </c>
      <c r="CJ73" s="95">
        <f>AF73/CJ$4</f>
        <v>0.12236286919831225</v>
      </c>
      <c r="CK73" s="93">
        <f>AH73/CK$4</f>
        <v>10.620915032679738</v>
      </c>
      <c r="CL73" s="93">
        <f>AJ73/CL$4</f>
        <v>3.7894736842105261</v>
      </c>
      <c r="CM73" s="93">
        <f>AL73/CM$4</f>
        <v>11.991434689507493</v>
      </c>
      <c r="CN73" s="93">
        <f>AN73/CN$4</f>
        <v>71.24183006535948</v>
      </c>
      <c r="CO73" s="93">
        <f>AP73/CO$4</f>
        <v>23.103448275862068</v>
      </c>
      <c r="CP73" s="93">
        <f>AR73/CP$4</f>
        <v>314.84184914841853</v>
      </c>
      <c r="CQ73" s="93">
        <f>AT73/CQ$4</f>
        <v>636.36363636363637</v>
      </c>
      <c r="CR73" s="93">
        <f>AV73/CR$4</f>
        <v>1165.3543307086613</v>
      </c>
      <c r="CS73" s="93">
        <f>AX73/CS$4</f>
        <v>2049.4699646643112</v>
      </c>
      <c r="CT73" s="93">
        <f>AZ73/CT$4</f>
        <v>3003.0211480362536</v>
      </c>
      <c r="CU73" s="93">
        <f>BB73/CU$4</f>
        <v>3576.4705882352946</v>
      </c>
      <c r="CV73" s="93">
        <f>BD73/CV$4</f>
        <v>4611.7647058823522</v>
      </c>
      <c r="CW73" s="93">
        <f>BF73/CW$4</f>
        <v>5629.9212598425202</v>
      </c>
    </row>
    <row r="74" spans="1:101" s="98" customFormat="1">
      <c r="A74" s="3" t="s">
        <v>314</v>
      </c>
      <c r="B74" s="3" t="s">
        <v>268</v>
      </c>
      <c r="C74" s="3"/>
      <c r="D74" s="93">
        <v>7.0039999999999996</v>
      </c>
      <c r="E74" s="94">
        <v>0.18920000000000001</v>
      </c>
      <c r="F74" s="94">
        <v>1.1999999999999999E-3</v>
      </c>
      <c r="G74" s="95">
        <v>12.01</v>
      </c>
      <c r="H74" s="96">
        <v>0.45</v>
      </c>
      <c r="I74" s="97">
        <v>0.46200000000000002</v>
      </c>
      <c r="J74" s="95">
        <v>1.6E-2</v>
      </c>
      <c r="K74" s="96">
        <v>0.96882999999999997</v>
      </c>
      <c r="M74" s="99">
        <v>2445</v>
      </c>
      <c r="N74" s="98">
        <v>73</v>
      </c>
      <c r="O74" s="99">
        <v>2735.8</v>
      </c>
      <c r="P74" s="98">
        <v>6.4</v>
      </c>
      <c r="Q74" s="93">
        <v>10.6</v>
      </c>
      <c r="R74" s="97">
        <v>3.3500000000000002E-2</v>
      </c>
      <c r="T74" s="98">
        <v>260</v>
      </c>
      <c r="U74" s="98">
        <v>110</v>
      </c>
      <c r="V74" s="98">
        <v>7.0000000000000007E-2</v>
      </c>
      <c r="W74" s="98">
        <v>0.83</v>
      </c>
      <c r="X74" s="98">
        <v>0.18</v>
      </c>
      <c r="Y74" s="98">
        <v>0.16</v>
      </c>
      <c r="Z74" s="98">
        <v>3.1</v>
      </c>
      <c r="AA74" s="98">
        <v>1</v>
      </c>
      <c r="AB74" s="98">
        <v>0.84</v>
      </c>
      <c r="AC74" s="98">
        <v>0.43</v>
      </c>
      <c r="AD74" s="98">
        <v>929</v>
      </c>
      <c r="AE74" s="98">
        <v>66</v>
      </c>
      <c r="AF74" s="95">
        <v>0.161</v>
      </c>
      <c r="AG74" s="97">
        <v>4.8000000000000001E-2</v>
      </c>
      <c r="AH74" s="96">
        <v>5.6</v>
      </c>
      <c r="AI74" s="96">
        <v>1.1000000000000001</v>
      </c>
      <c r="AJ74" s="95">
        <v>0.185</v>
      </c>
      <c r="AK74" s="95">
        <v>6.0999999999999999E-2</v>
      </c>
      <c r="AL74" s="96">
        <v>1.76</v>
      </c>
      <c r="AM74" s="96">
        <v>0.56999999999999995</v>
      </c>
      <c r="AN74" s="96">
        <v>2.94</v>
      </c>
      <c r="AO74" s="96">
        <v>0.95</v>
      </c>
      <c r="AP74" s="96">
        <v>0.39</v>
      </c>
      <c r="AQ74" s="96">
        <v>0.11</v>
      </c>
      <c r="AR74" s="96">
        <v>18.7</v>
      </c>
      <c r="AS74" s="93">
        <v>4.4000000000000004</v>
      </c>
      <c r="AT74" s="96">
        <v>6.03</v>
      </c>
      <c r="AU74" s="96">
        <v>0.73</v>
      </c>
      <c r="AV74" s="99">
        <v>82.2</v>
      </c>
      <c r="AW74" s="98">
        <v>8.6999999999999993</v>
      </c>
      <c r="AX74" s="98">
        <v>30.6</v>
      </c>
      <c r="AY74" s="96">
        <v>3.2</v>
      </c>
      <c r="AZ74" s="98">
        <v>141</v>
      </c>
      <c r="BA74" s="98">
        <v>15</v>
      </c>
      <c r="BB74" s="98">
        <v>30.3</v>
      </c>
      <c r="BC74" s="93">
        <v>2.8</v>
      </c>
      <c r="BD74" s="98">
        <v>261</v>
      </c>
      <c r="BE74" s="98">
        <v>29</v>
      </c>
      <c r="BF74" s="98">
        <v>49.3</v>
      </c>
      <c r="BG74" s="99">
        <v>5</v>
      </c>
      <c r="BI74" s="93">
        <v>11.6</v>
      </c>
      <c r="BJ74" s="98">
        <v>3.4</v>
      </c>
      <c r="BK74" s="98">
        <v>479000</v>
      </c>
      <c r="BL74" s="98">
        <v>49000</v>
      </c>
      <c r="BM74" s="98">
        <v>9400</v>
      </c>
      <c r="BN74" s="98">
        <v>1100</v>
      </c>
      <c r="BO74" s="99">
        <v>45.5</v>
      </c>
      <c r="BP74" s="98">
        <v>5</v>
      </c>
      <c r="BQ74" s="99">
        <v>90</v>
      </c>
      <c r="BR74" s="98">
        <v>11</v>
      </c>
      <c r="BT74" s="95">
        <f>BQ74/BD74</f>
        <v>0.34482758620689657</v>
      </c>
      <c r="BU74" s="96">
        <f>AH74/AL74</f>
        <v>3.1818181818181817</v>
      </c>
      <c r="BV74" s="96">
        <f>BK74/BM74</f>
        <v>50.957446808510639</v>
      </c>
      <c r="BW74" s="96">
        <f>BO74/BQ74</f>
        <v>0.50555555555555554</v>
      </c>
      <c r="BX74" s="99">
        <f>CK74/SQRT(CJ74*CL74)</f>
        <v>7.9556153729421561</v>
      </c>
      <c r="BY74" s="96">
        <f>AH74/AL74</f>
        <v>3.1818181818181817</v>
      </c>
      <c r="BZ74" s="97">
        <f>(AH74/AL74)/AD74</f>
        <v>3.4249926607300123E-3</v>
      </c>
      <c r="CA74" s="95">
        <f t="shared" si="50"/>
        <v>0.16080286176557071</v>
      </c>
      <c r="CB74" s="99">
        <f t="shared" si="100"/>
        <v>147.28838563081428</v>
      </c>
      <c r="CC74" s="99">
        <f t="shared" si="100"/>
        <v>18.001913799321745</v>
      </c>
      <c r="CD74" s="100">
        <f t="shared" si="35"/>
        <v>788.42035656487189</v>
      </c>
      <c r="CE74" s="100">
        <f t="shared" si="51"/>
        <v>831.43790202642856</v>
      </c>
      <c r="CF74" s="100">
        <f t="shared" si="101"/>
        <v>34.803133393569951</v>
      </c>
      <c r="CG74" s="96">
        <f>2.28+3.99*LOG(AH74/((CB74*BI74)^(1/2)))</f>
        <v>-1.1838196223784423</v>
      </c>
      <c r="CH74" s="96">
        <f t="shared" si="52"/>
        <v>0.48897077563678842</v>
      </c>
      <c r="CJ74" s="95">
        <f>AF74/CJ$4</f>
        <v>0.67932489451476796</v>
      </c>
      <c r="CK74" s="93">
        <f>AH74/CK$4</f>
        <v>9.1503267973856204</v>
      </c>
      <c r="CL74" s="93">
        <f>AJ74/CL$4</f>
        <v>1.9473684210526316</v>
      </c>
      <c r="CM74" s="93">
        <f>AL74/CM$4</f>
        <v>3.768736616702355</v>
      </c>
      <c r="CN74" s="93">
        <f>AN74/CN$4</f>
        <v>19.215686274509803</v>
      </c>
      <c r="CO74" s="93">
        <f>AP74/CO$4</f>
        <v>6.7241379310344822</v>
      </c>
      <c r="CP74" s="93">
        <f>AR74/CP$4</f>
        <v>90.997566909975674</v>
      </c>
      <c r="CQ74" s="93">
        <f>AT74/CQ$4</f>
        <v>161.22994652406416</v>
      </c>
      <c r="CR74" s="93">
        <f>AV74/CR$4</f>
        <v>323.62204724409452</v>
      </c>
      <c r="CS74" s="93">
        <f>AX74/CS$4</f>
        <v>540.63604240282689</v>
      </c>
      <c r="CT74" s="93">
        <f>AZ74/CT$4</f>
        <v>851.96374622356495</v>
      </c>
      <c r="CU74" s="93">
        <f>BB74/CU$4</f>
        <v>1188.2352941176471</v>
      </c>
      <c r="CV74" s="93">
        <f>BD74/CV$4</f>
        <v>1535.2941176470588</v>
      </c>
      <c r="CW74" s="93">
        <f>BF74/CW$4</f>
        <v>1940.9448818897638</v>
      </c>
    </row>
    <row r="75" spans="1:101" s="98" customFormat="1">
      <c r="A75" s="3" t="s">
        <v>315</v>
      </c>
      <c r="B75" s="3" t="s">
        <v>268</v>
      </c>
      <c r="C75" s="3"/>
      <c r="D75" s="93">
        <v>7.0030000000000001</v>
      </c>
      <c r="E75" s="94">
        <v>0.18983</v>
      </c>
      <c r="F75" s="94">
        <v>7.9000000000000001E-4</v>
      </c>
      <c r="G75" s="95">
        <v>13.832000000000001</v>
      </c>
      <c r="H75" s="96">
        <v>0.34</v>
      </c>
      <c r="I75" s="97">
        <v>0.52959999999999996</v>
      </c>
      <c r="J75" s="95">
        <v>1.0999999999999999E-2</v>
      </c>
      <c r="K75" s="96">
        <v>0.86682999999999999</v>
      </c>
      <c r="M75" s="99">
        <v>2739.7</v>
      </c>
      <c r="N75" s="98">
        <v>48</v>
      </c>
      <c r="O75" s="99">
        <v>2741.1</v>
      </c>
      <c r="P75" s="98">
        <v>3.4</v>
      </c>
      <c r="Q75" s="93">
        <v>0.05</v>
      </c>
      <c r="R75" s="97">
        <v>4.2000000000000002E-4</v>
      </c>
      <c r="T75" s="98">
        <v>410</v>
      </c>
      <c r="U75" s="98">
        <v>120</v>
      </c>
      <c r="V75" s="98">
        <v>0.7</v>
      </c>
      <c r="W75" s="98">
        <v>1.1000000000000001</v>
      </c>
      <c r="X75" s="98">
        <v>0.24</v>
      </c>
      <c r="Y75" s="98">
        <v>0.26</v>
      </c>
      <c r="Z75" s="98">
        <v>4.3</v>
      </c>
      <c r="AA75" s="98">
        <v>1.2</v>
      </c>
      <c r="AB75" s="98">
        <v>1.37</v>
      </c>
      <c r="AC75" s="98">
        <v>0.42</v>
      </c>
      <c r="AD75" s="98">
        <v>2550</v>
      </c>
      <c r="AE75" s="98">
        <v>160</v>
      </c>
      <c r="AF75" s="95">
        <v>9.7000000000000003E-3</v>
      </c>
      <c r="AG75" s="97">
        <v>8.9999999999999993E-3</v>
      </c>
      <c r="AH75" s="96">
        <v>8.43</v>
      </c>
      <c r="AI75" s="96">
        <v>0.78</v>
      </c>
      <c r="AJ75" s="95">
        <v>0.22500000000000001</v>
      </c>
      <c r="AK75" s="95">
        <v>5.7000000000000002E-2</v>
      </c>
      <c r="AL75" s="96">
        <v>3.1</v>
      </c>
      <c r="AM75" s="96">
        <v>1.2</v>
      </c>
      <c r="AN75" s="96">
        <v>7.9</v>
      </c>
      <c r="AO75" s="96">
        <v>1.5</v>
      </c>
      <c r="AP75" s="96">
        <v>1.1100000000000001</v>
      </c>
      <c r="AQ75" s="96">
        <v>0.31</v>
      </c>
      <c r="AR75" s="96">
        <v>54.2</v>
      </c>
      <c r="AS75" s="93">
        <v>8.1</v>
      </c>
      <c r="AT75" s="96">
        <v>19</v>
      </c>
      <c r="AU75" s="96">
        <v>1.6</v>
      </c>
      <c r="AV75" s="99">
        <v>224</v>
      </c>
      <c r="AW75" s="98">
        <v>17</v>
      </c>
      <c r="AX75" s="98">
        <v>83</v>
      </c>
      <c r="AY75" s="96">
        <v>5.8</v>
      </c>
      <c r="AZ75" s="98">
        <v>402</v>
      </c>
      <c r="BA75" s="98">
        <v>27</v>
      </c>
      <c r="BB75" s="98">
        <v>74.8</v>
      </c>
      <c r="BC75" s="93">
        <v>4.4000000000000004</v>
      </c>
      <c r="BD75" s="98">
        <v>653</v>
      </c>
      <c r="BE75" s="98">
        <v>48</v>
      </c>
      <c r="BF75" s="98">
        <v>124.8</v>
      </c>
      <c r="BG75" s="99">
        <v>9.9</v>
      </c>
      <c r="BI75" s="93">
        <v>9.9</v>
      </c>
      <c r="BJ75" s="98">
        <v>3</v>
      </c>
      <c r="BK75" s="98">
        <v>572000</v>
      </c>
      <c r="BL75" s="98">
        <v>38000</v>
      </c>
      <c r="BM75" s="98">
        <v>9750</v>
      </c>
      <c r="BN75" s="98">
        <v>890</v>
      </c>
      <c r="BO75" s="99">
        <v>186.4</v>
      </c>
      <c r="BP75" s="98">
        <v>9.1999999999999993</v>
      </c>
      <c r="BQ75" s="99">
        <v>199</v>
      </c>
      <c r="BR75" s="98">
        <v>10</v>
      </c>
      <c r="BT75" s="95">
        <f>BQ75/BD75</f>
        <v>0.30474732006125577</v>
      </c>
      <c r="BU75" s="96">
        <f>AH75/AL75</f>
        <v>2.7193548387096773</v>
      </c>
      <c r="BV75" s="96">
        <f>BK75/BM75</f>
        <v>58.666666666666664</v>
      </c>
      <c r="BW75" s="96">
        <f>BO75/BQ75</f>
        <v>0.93668341708542713</v>
      </c>
      <c r="BX75" s="99">
        <f>CK75/SQRT(CJ75*CL75)</f>
        <v>44.242025520814884</v>
      </c>
      <c r="BY75" s="96">
        <f>AH75/AL75</f>
        <v>2.7193548387096773</v>
      </c>
      <c r="BZ75" s="97">
        <f>(AH75/AL75)/AD75</f>
        <v>1.0664136622390891E-3</v>
      </c>
      <c r="CA75" s="95">
        <f t="shared" si="50"/>
        <v>0.16399606398833017</v>
      </c>
      <c r="CB75" s="99">
        <f t="shared" si="100"/>
        <v>325.67098600591157</v>
      </c>
      <c r="CC75" s="99">
        <f t="shared" si="100"/>
        <v>16.365376181201587</v>
      </c>
      <c r="CD75" s="100">
        <f t="shared" si="35"/>
        <v>772.50457063572787</v>
      </c>
      <c r="CE75" s="100">
        <f t="shared" si="51"/>
        <v>814.21654714334625</v>
      </c>
      <c r="CF75" s="100">
        <f t="shared" si="101"/>
        <v>34.834363426299049</v>
      </c>
      <c r="CG75" s="96">
        <f>2.28+3.99*LOG(AH75/((CB75*BI75)^(1/2)))</f>
        <v>-1.0252344332007817</v>
      </c>
      <c r="CH75" s="96">
        <f t="shared" si="52"/>
        <v>0.28351001286627719</v>
      </c>
      <c r="CJ75" s="95">
        <f>AF75/CJ$4</f>
        <v>4.0928270042194098E-2</v>
      </c>
      <c r="CK75" s="93">
        <f>AH75/CK$4</f>
        <v>13.774509803921568</v>
      </c>
      <c r="CL75" s="93">
        <f>AJ75/CL$4</f>
        <v>2.3684210526315788</v>
      </c>
      <c r="CM75" s="93">
        <f>AL75/CM$4</f>
        <v>6.6381156316916483</v>
      </c>
      <c r="CN75" s="93">
        <f>AN75/CN$4</f>
        <v>51.633986928104576</v>
      </c>
      <c r="CO75" s="93">
        <f>AP75/CO$4</f>
        <v>19.137931034482758</v>
      </c>
      <c r="CP75" s="93">
        <f>AR75/CP$4</f>
        <v>263.74695863746962</v>
      </c>
      <c r="CQ75" s="93">
        <f>AT75/CQ$4</f>
        <v>508.02139037433153</v>
      </c>
      <c r="CR75" s="93">
        <f>AV75/CR$4</f>
        <v>881.88976377952758</v>
      </c>
      <c r="CS75" s="93">
        <f>AX75/CS$4</f>
        <v>1466.4310954063606</v>
      </c>
      <c r="CT75" s="93">
        <f>AZ75/CT$4</f>
        <v>2429.0030211480362</v>
      </c>
      <c r="CU75" s="93">
        <f>BB75/CU$4</f>
        <v>2933.3333333333335</v>
      </c>
      <c r="CV75" s="93">
        <f>BD75/CV$4</f>
        <v>3841.1764705882351</v>
      </c>
      <c r="CW75" s="93">
        <f>BF75/CW$4</f>
        <v>4913.3858267716532</v>
      </c>
    </row>
    <row r="76" spans="1:101" s="118" customFormat="1">
      <c r="A76" s="111" t="s">
        <v>316</v>
      </c>
      <c r="B76" s="111" t="s">
        <v>268</v>
      </c>
      <c r="C76" s="111"/>
      <c r="D76" s="113">
        <v>7.0170000000000003</v>
      </c>
      <c r="E76" s="114">
        <v>0.18959999999999999</v>
      </c>
      <c r="F76" s="114">
        <v>1.5E-3</v>
      </c>
      <c r="G76" s="115">
        <v>13.64</v>
      </c>
      <c r="H76" s="116">
        <v>0.36</v>
      </c>
      <c r="I76" s="117">
        <v>0.52290000000000003</v>
      </c>
      <c r="J76" s="117">
        <v>1.2E-2</v>
      </c>
      <c r="K76" s="116">
        <v>0.81694</v>
      </c>
      <c r="M76" s="119">
        <v>2711</v>
      </c>
      <c r="N76" s="118">
        <v>49</v>
      </c>
      <c r="O76" s="119">
        <v>2738.7</v>
      </c>
      <c r="P76" s="118">
        <v>9.6</v>
      </c>
      <c r="Q76" s="113">
        <v>1</v>
      </c>
      <c r="R76" s="117">
        <v>3.5999999999999999E-3</v>
      </c>
      <c r="T76" s="118">
        <v>310</v>
      </c>
      <c r="U76" s="118">
        <v>130</v>
      </c>
      <c r="V76" s="118">
        <v>0.03</v>
      </c>
      <c r="W76" s="118">
        <v>0.94</v>
      </c>
      <c r="X76" s="118">
        <v>0.36</v>
      </c>
      <c r="Y76" s="118">
        <v>0.34</v>
      </c>
      <c r="Z76" s="118">
        <v>3.18</v>
      </c>
      <c r="AA76" s="118">
        <v>0.85</v>
      </c>
      <c r="AB76" s="118">
        <v>1.61</v>
      </c>
      <c r="AC76" s="118">
        <v>0.48</v>
      </c>
      <c r="AD76" s="118">
        <v>1102</v>
      </c>
      <c r="AE76" s="118">
        <v>82</v>
      </c>
      <c r="AF76" s="115">
        <v>1.93</v>
      </c>
      <c r="AG76" s="117">
        <v>0.18</v>
      </c>
      <c r="AH76" s="116">
        <v>12.1</v>
      </c>
      <c r="AI76" s="116">
        <v>1.6</v>
      </c>
      <c r="AJ76" s="115">
        <v>0.82199999999999995</v>
      </c>
      <c r="AK76" s="115">
        <v>8.3000000000000004E-2</v>
      </c>
      <c r="AL76" s="116">
        <v>4.0999999999999996</v>
      </c>
      <c r="AM76" s="116">
        <v>0.86</v>
      </c>
      <c r="AN76" s="116">
        <v>3.16</v>
      </c>
      <c r="AO76" s="116">
        <v>0.86</v>
      </c>
      <c r="AP76" s="116">
        <v>0.22</v>
      </c>
      <c r="AQ76" s="116">
        <v>0.16</v>
      </c>
      <c r="AR76" s="116">
        <v>18.2</v>
      </c>
      <c r="AS76" s="113">
        <v>4.5999999999999996</v>
      </c>
      <c r="AT76" s="116">
        <v>7.15</v>
      </c>
      <c r="AU76" s="116">
        <v>0.74</v>
      </c>
      <c r="AV76" s="119">
        <v>91.5</v>
      </c>
      <c r="AW76" s="118">
        <v>8.8000000000000007</v>
      </c>
      <c r="AX76" s="118">
        <v>34.9</v>
      </c>
      <c r="AY76" s="116">
        <v>2.9</v>
      </c>
      <c r="AZ76" s="118">
        <v>179</v>
      </c>
      <c r="BA76" s="118">
        <v>15</v>
      </c>
      <c r="BB76" s="118">
        <v>34.700000000000003</v>
      </c>
      <c r="BC76" s="113">
        <v>3.7</v>
      </c>
      <c r="BD76" s="118">
        <v>311</v>
      </c>
      <c r="BE76" s="118">
        <v>21</v>
      </c>
      <c r="BF76" s="118">
        <v>59.5</v>
      </c>
      <c r="BG76" s="118">
        <v>3.5</v>
      </c>
      <c r="BI76" s="113">
        <v>3.2</v>
      </c>
      <c r="BJ76" s="118">
        <v>2.2000000000000002</v>
      </c>
      <c r="BK76" s="118">
        <v>523000</v>
      </c>
      <c r="BL76" s="118">
        <v>54000</v>
      </c>
      <c r="BM76" s="118">
        <v>10220</v>
      </c>
      <c r="BN76" s="118">
        <v>990</v>
      </c>
      <c r="BO76" s="119">
        <v>44.1</v>
      </c>
      <c r="BP76" s="118">
        <v>3</v>
      </c>
      <c r="BQ76" s="119">
        <v>84.3</v>
      </c>
      <c r="BR76" s="118">
        <v>5.5</v>
      </c>
      <c r="CB76" s="99"/>
      <c r="CC76" s="99"/>
      <c r="CD76" s="120"/>
      <c r="CE76" s="100"/>
      <c r="CF76" s="100"/>
      <c r="CG76" s="116"/>
      <c r="CH76" s="96"/>
    </row>
    <row r="77" spans="1:101" s="98" customFormat="1">
      <c r="A77" s="3" t="s">
        <v>317</v>
      </c>
      <c r="B77" s="3" t="s">
        <v>268</v>
      </c>
      <c r="C77" s="3"/>
      <c r="D77" s="93">
        <v>7.0129999999999999</v>
      </c>
      <c r="E77" s="94">
        <v>0.1895</v>
      </c>
      <c r="F77" s="94">
        <v>1.2999999999999999E-3</v>
      </c>
      <c r="G77" s="95">
        <v>13.81</v>
      </c>
      <c r="H77" s="96">
        <v>0.35</v>
      </c>
      <c r="I77" s="97">
        <v>0.52980000000000005</v>
      </c>
      <c r="J77" s="95">
        <v>1.2E-2</v>
      </c>
      <c r="K77" s="96">
        <v>0.65127999999999997</v>
      </c>
      <c r="M77" s="99">
        <v>2741</v>
      </c>
      <c r="N77" s="98">
        <v>49</v>
      </c>
      <c r="O77" s="99">
        <v>2738.3</v>
      </c>
      <c r="P77" s="98">
        <v>8.9</v>
      </c>
      <c r="Q77" s="93">
        <v>-0.09</v>
      </c>
      <c r="R77" s="97">
        <v>1.1800000000000001E-3</v>
      </c>
      <c r="T77" s="98">
        <v>250</v>
      </c>
      <c r="U77" s="98">
        <v>100</v>
      </c>
      <c r="V77" s="98">
        <v>0.4</v>
      </c>
      <c r="W77" s="98">
        <v>1.9</v>
      </c>
      <c r="X77" s="98">
        <v>0.48</v>
      </c>
      <c r="Y77" s="98">
        <v>0.2</v>
      </c>
      <c r="Z77" s="98">
        <v>3.17</v>
      </c>
      <c r="AA77" s="98">
        <v>0.86</v>
      </c>
      <c r="AB77" s="98">
        <v>1</v>
      </c>
      <c r="AC77" s="98">
        <v>0.27</v>
      </c>
      <c r="AD77" s="98">
        <v>2860</v>
      </c>
      <c r="AE77" s="98">
        <v>260</v>
      </c>
      <c r="AF77" s="95">
        <v>3.9E-2</v>
      </c>
      <c r="AG77" s="97">
        <v>2.3E-2</v>
      </c>
      <c r="AH77" s="96">
        <v>5.42</v>
      </c>
      <c r="AI77" s="96">
        <v>0.77</v>
      </c>
      <c r="AJ77" s="95">
        <v>0.24099999999999999</v>
      </c>
      <c r="AK77" s="95">
        <v>7.0000000000000007E-2</v>
      </c>
      <c r="AL77" s="96">
        <v>4.5999999999999996</v>
      </c>
      <c r="AM77" s="96">
        <v>1.5</v>
      </c>
      <c r="AN77" s="96">
        <v>7.5</v>
      </c>
      <c r="AO77" s="96">
        <v>1.9</v>
      </c>
      <c r="AP77" s="96">
        <v>1.5</v>
      </c>
      <c r="AQ77" s="96">
        <v>0.3</v>
      </c>
      <c r="AR77" s="96">
        <v>71</v>
      </c>
      <c r="AS77" s="93">
        <v>13</v>
      </c>
      <c r="AT77" s="96">
        <v>21.3</v>
      </c>
      <c r="AU77" s="96">
        <v>3.5</v>
      </c>
      <c r="AV77" s="99">
        <v>263</v>
      </c>
      <c r="AW77" s="98">
        <v>28</v>
      </c>
      <c r="AX77" s="98">
        <v>98</v>
      </c>
      <c r="AY77" s="96">
        <v>11</v>
      </c>
      <c r="AZ77" s="98">
        <v>435</v>
      </c>
      <c r="BA77" s="98">
        <v>48</v>
      </c>
      <c r="BB77" s="98">
        <v>83.5</v>
      </c>
      <c r="BC77" s="93">
        <v>8</v>
      </c>
      <c r="BD77" s="98">
        <v>682</v>
      </c>
      <c r="BE77" s="98">
        <v>66</v>
      </c>
      <c r="BF77" s="98">
        <v>136</v>
      </c>
      <c r="BG77" s="99">
        <v>16</v>
      </c>
      <c r="BI77" s="93">
        <v>6.7</v>
      </c>
      <c r="BJ77" s="98">
        <v>3.8</v>
      </c>
      <c r="BK77" s="98">
        <v>512000</v>
      </c>
      <c r="BL77" s="98">
        <v>49000</v>
      </c>
      <c r="BM77" s="98">
        <v>9400</v>
      </c>
      <c r="BN77" s="98">
        <v>1100</v>
      </c>
      <c r="BO77" s="99">
        <v>100</v>
      </c>
      <c r="BP77" s="98">
        <v>11</v>
      </c>
      <c r="BQ77" s="99">
        <v>133</v>
      </c>
      <c r="BR77" s="98">
        <v>14</v>
      </c>
      <c r="BT77" s="95">
        <f>BQ77/BD77</f>
        <v>0.19501466275659823</v>
      </c>
      <c r="BU77" s="96">
        <f>AH77/AL77</f>
        <v>1.1782608695652175</v>
      </c>
      <c r="BV77" s="96">
        <f>BK77/BM77</f>
        <v>54.468085106382979</v>
      </c>
      <c r="BW77" s="96">
        <f>BO77/BQ77</f>
        <v>0.75187969924812026</v>
      </c>
      <c r="BX77" s="99">
        <f>CK77/SQRT(CJ77*CL77)</f>
        <v>13.707019014772154</v>
      </c>
      <c r="BY77" s="96">
        <f>AH77/AL77</f>
        <v>1.1782608695652175</v>
      </c>
      <c r="BZ77" s="97">
        <f>(AH77/AL77)/AD77</f>
        <v>4.119793250228033E-4</v>
      </c>
      <c r="CA77" s="95">
        <f t="shared" si="50"/>
        <v>0.19872618161387295</v>
      </c>
      <c r="CB77" s="99">
        <f t="shared" si="100"/>
        <v>217.65950320998112</v>
      </c>
      <c r="CC77" s="99">
        <f t="shared" si="100"/>
        <v>22.911526653682223</v>
      </c>
      <c r="CD77" s="100">
        <f t="shared" si="35"/>
        <v>735.25622964782951</v>
      </c>
      <c r="CE77" s="100">
        <f t="shared" si="51"/>
        <v>773.99435842418859</v>
      </c>
      <c r="CF77" s="100">
        <f t="shared" si="101"/>
        <v>58.170922617188531</v>
      </c>
      <c r="CG77" s="96">
        <f>2.28+3.99*LOG(AH77/((CB77*BI77)^(1/2)))</f>
        <v>-1.1032284571233477</v>
      </c>
      <c r="CH77" s="96">
        <f t="shared" si="52"/>
        <v>0.62275153822789198</v>
      </c>
      <c r="CJ77" s="95">
        <f>AF77/CJ$4</f>
        <v>0.16455696202531647</v>
      </c>
      <c r="CK77" s="93">
        <f>AH77/CK$4</f>
        <v>8.8562091503267979</v>
      </c>
      <c r="CL77" s="93">
        <f>AJ77/CL$4</f>
        <v>2.5368421052631578</v>
      </c>
      <c r="CM77" s="93">
        <f>AL77/CM$4</f>
        <v>9.8501070663811543</v>
      </c>
      <c r="CN77" s="93">
        <f>AN77/CN$4</f>
        <v>49.019607843137258</v>
      </c>
      <c r="CO77" s="93">
        <f>AP77/CO$4</f>
        <v>25.862068965517238</v>
      </c>
      <c r="CP77" s="93">
        <f>AR77/CP$4</f>
        <v>345.49878345498786</v>
      </c>
      <c r="CQ77" s="93">
        <f>AT77/CQ$4</f>
        <v>569.51871657754009</v>
      </c>
      <c r="CR77" s="93">
        <f>AV77/CR$4</f>
        <v>1035.4330708661416</v>
      </c>
      <c r="CS77" s="93">
        <f>AX77/CS$4</f>
        <v>1731.4487632508835</v>
      </c>
      <c r="CT77" s="93">
        <f>AZ77/CT$4</f>
        <v>2628.3987915407852</v>
      </c>
      <c r="CU77" s="93">
        <f>BB77/CU$4</f>
        <v>3274.5098039215686</v>
      </c>
      <c r="CV77" s="93">
        <f>BD77/CV$4</f>
        <v>4011.7647058823527</v>
      </c>
      <c r="CW77" s="93">
        <f>BF77/CW$4</f>
        <v>5354.3307086614177</v>
      </c>
    </row>
    <row r="78" spans="1:101" s="98" customFormat="1">
      <c r="A78" s="3" t="s">
        <v>318</v>
      </c>
      <c r="B78" s="3" t="s">
        <v>268</v>
      </c>
      <c r="C78" s="3"/>
      <c r="D78" s="93">
        <v>6.7770999999999999</v>
      </c>
      <c r="E78" s="94">
        <v>0.18945000000000001</v>
      </c>
      <c r="F78" s="94">
        <v>7.7999999999999999E-4</v>
      </c>
      <c r="G78" s="95">
        <v>13.651999999999999</v>
      </c>
      <c r="H78" s="96">
        <v>0.33</v>
      </c>
      <c r="I78" s="97">
        <v>0.52370000000000005</v>
      </c>
      <c r="J78" s="95">
        <v>1.0999999999999999E-2</v>
      </c>
      <c r="K78" s="96">
        <v>0.93206999999999995</v>
      </c>
      <c r="M78" s="99">
        <v>2714.8</v>
      </c>
      <c r="N78" s="98">
        <v>48</v>
      </c>
      <c r="O78" s="99">
        <v>2737.6</v>
      </c>
      <c r="P78" s="98">
        <v>3</v>
      </c>
      <c r="Q78" s="93">
        <v>0.83</v>
      </c>
      <c r="R78" s="97">
        <v>2.3E-3</v>
      </c>
      <c r="T78" s="98">
        <v>310</v>
      </c>
      <c r="U78" s="98">
        <v>110</v>
      </c>
      <c r="V78" s="98">
        <v>0.5</v>
      </c>
      <c r="W78" s="98">
        <v>1.1000000000000001</v>
      </c>
      <c r="X78" s="98">
        <v>0.25</v>
      </c>
      <c r="Y78" s="98">
        <v>0.23</v>
      </c>
      <c r="Z78" s="98">
        <v>1.87</v>
      </c>
      <c r="AA78" s="98">
        <v>0.49</v>
      </c>
      <c r="AB78" s="98">
        <v>1.17</v>
      </c>
      <c r="AC78" s="98">
        <v>0.32</v>
      </c>
      <c r="AD78" s="98">
        <v>2650</v>
      </c>
      <c r="AE78" s="98">
        <v>270</v>
      </c>
      <c r="AF78" s="95">
        <v>3.5999999999999997E-2</v>
      </c>
      <c r="AG78" s="97">
        <v>1.4999999999999999E-2</v>
      </c>
      <c r="AH78" s="96">
        <v>5.73</v>
      </c>
      <c r="AI78" s="96">
        <v>0.65</v>
      </c>
      <c r="AJ78" s="95">
        <v>0.27300000000000002</v>
      </c>
      <c r="AK78" s="95">
        <v>6.9000000000000006E-2</v>
      </c>
      <c r="AL78" s="96">
        <v>3.72</v>
      </c>
      <c r="AM78" s="96">
        <v>0.87</v>
      </c>
      <c r="AN78" s="96">
        <v>8.9</v>
      </c>
      <c r="AO78" s="96">
        <v>1.4</v>
      </c>
      <c r="AP78" s="96">
        <v>1.07</v>
      </c>
      <c r="AQ78" s="96">
        <v>0.28000000000000003</v>
      </c>
      <c r="AR78" s="96">
        <v>59.7</v>
      </c>
      <c r="AS78" s="93">
        <v>6.7</v>
      </c>
      <c r="AT78" s="96">
        <v>18.7</v>
      </c>
      <c r="AU78" s="96">
        <v>1.7</v>
      </c>
      <c r="AV78" s="99">
        <v>241</v>
      </c>
      <c r="AW78" s="98">
        <v>20</v>
      </c>
      <c r="AX78" s="98">
        <v>87.9</v>
      </c>
      <c r="AY78" s="96">
        <v>8</v>
      </c>
      <c r="AZ78" s="98">
        <v>386</v>
      </c>
      <c r="BA78" s="98">
        <v>25</v>
      </c>
      <c r="BB78" s="98">
        <v>70.3</v>
      </c>
      <c r="BC78" s="93">
        <v>6.3</v>
      </c>
      <c r="BD78" s="98">
        <v>605</v>
      </c>
      <c r="BE78" s="98">
        <v>50</v>
      </c>
      <c r="BF78" s="98">
        <v>112</v>
      </c>
      <c r="BG78" s="99">
        <v>13</v>
      </c>
      <c r="BI78" s="93">
        <v>7.2</v>
      </c>
      <c r="BJ78" s="98">
        <v>3.8</v>
      </c>
      <c r="BK78" s="98">
        <v>509000</v>
      </c>
      <c r="BL78" s="98">
        <v>32000</v>
      </c>
      <c r="BM78" s="98">
        <v>8670</v>
      </c>
      <c r="BN78" s="98">
        <v>760</v>
      </c>
      <c r="BO78" s="99">
        <v>93.8</v>
      </c>
      <c r="BP78" s="98">
        <v>8</v>
      </c>
      <c r="BQ78" s="99">
        <v>123</v>
      </c>
      <c r="BR78" s="98">
        <v>10</v>
      </c>
      <c r="BT78" s="95">
        <f>BQ78/BD78</f>
        <v>0.20330578512396694</v>
      </c>
      <c r="BU78" s="96">
        <f>AH78/AL78</f>
        <v>1.5403225806451613</v>
      </c>
      <c r="BV78" s="96">
        <f>BK78/BM78</f>
        <v>58.708189158016147</v>
      </c>
      <c r="BW78" s="96">
        <f>BO78/BQ78</f>
        <v>0.76260162601626014</v>
      </c>
      <c r="BX78" s="99">
        <f>CK78/SQRT(CJ78*CL78)</f>
        <v>14.171199159230932</v>
      </c>
      <c r="BY78" s="96">
        <f>AH78/AL78</f>
        <v>1.5403225806451613</v>
      </c>
      <c r="BZ78" s="97">
        <f>(AH78/AL78)/AD78</f>
        <v>5.8125380401704196E-4</v>
      </c>
      <c r="CA78" s="95">
        <f t="shared" si="50"/>
        <v>0.14191400080569661</v>
      </c>
      <c r="CB78" s="99">
        <f t="shared" si="100"/>
        <v>201.29412702877951</v>
      </c>
      <c r="CC78" s="99">
        <f t="shared" si="100"/>
        <v>16.365376181201587</v>
      </c>
      <c r="CD78" s="100">
        <f t="shared" si="35"/>
        <v>741.92196469747637</v>
      </c>
      <c r="CE78" s="100">
        <f t="shared" si="51"/>
        <v>781.18388704146867</v>
      </c>
      <c r="CF78" s="100">
        <f t="shared" si="101"/>
        <v>54.98424031547497</v>
      </c>
      <c r="CG78" s="96">
        <f>2.28+3.99*LOG(AH78/((CB78*BI78)^(1/2)))</f>
        <v>-1.0014844413461197</v>
      </c>
      <c r="CH78" s="96">
        <f t="shared" si="52"/>
        <v>0.54841657028096025</v>
      </c>
      <c r="CJ78" s="95">
        <f>AF78/CJ$4</f>
        <v>0.15189873417721519</v>
      </c>
      <c r="CK78" s="93">
        <f>AH78/CK$4</f>
        <v>9.3627450980392162</v>
      </c>
      <c r="CL78" s="93">
        <f>AJ78/CL$4</f>
        <v>2.8736842105263158</v>
      </c>
      <c r="CM78" s="93">
        <f>AL78/CM$4</f>
        <v>7.9657387580299783</v>
      </c>
      <c r="CN78" s="93">
        <f>AN78/CN$4</f>
        <v>58.169934640522882</v>
      </c>
      <c r="CO78" s="93">
        <f>AP78/CO$4</f>
        <v>18.448275862068964</v>
      </c>
      <c r="CP78" s="93">
        <f>AR78/CP$4</f>
        <v>290.5109489051095</v>
      </c>
      <c r="CQ78" s="93">
        <f>AT78/CQ$4</f>
        <v>499.99999999999994</v>
      </c>
      <c r="CR78" s="93">
        <f>AV78/CR$4</f>
        <v>948.81889763779532</v>
      </c>
      <c r="CS78" s="93">
        <f>AX78/CS$4</f>
        <v>1553.0035335689047</v>
      </c>
      <c r="CT78" s="93">
        <f>AZ78/CT$4</f>
        <v>2332.3262839879153</v>
      </c>
      <c r="CU78" s="93">
        <f>BB78/CU$4</f>
        <v>2756.8627450980393</v>
      </c>
      <c r="CV78" s="93">
        <f>BD78/CV$4</f>
        <v>3558.8235294117644</v>
      </c>
      <c r="CW78" s="93">
        <f>BF78/CW$4</f>
        <v>4409.4488188976384</v>
      </c>
    </row>
    <row r="79" spans="1:101" s="98" customFormat="1">
      <c r="A79" s="3" t="s">
        <v>319</v>
      </c>
      <c r="B79" s="3" t="s">
        <v>268</v>
      </c>
      <c r="C79" s="3"/>
      <c r="D79" s="93">
        <v>6.0762999999999998</v>
      </c>
      <c r="E79" s="94">
        <v>0.18890000000000001</v>
      </c>
      <c r="F79" s="94">
        <v>1E-3</v>
      </c>
      <c r="G79" s="95">
        <v>13.65</v>
      </c>
      <c r="H79" s="96">
        <v>0.34</v>
      </c>
      <c r="I79" s="97">
        <v>0.5252</v>
      </c>
      <c r="J79" s="95">
        <v>1.0999999999999999E-2</v>
      </c>
      <c r="K79" s="96">
        <v>0.71316000000000002</v>
      </c>
      <c r="M79" s="99">
        <v>2720.9</v>
      </c>
      <c r="N79" s="98">
        <v>48</v>
      </c>
      <c r="O79" s="99">
        <v>2733</v>
      </c>
      <c r="P79" s="98">
        <v>4.5999999999999996</v>
      </c>
      <c r="Q79" s="93">
        <v>0.44</v>
      </c>
      <c r="R79" s="97">
        <v>1.8E-3</v>
      </c>
      <c r="T79" s="98">
        <v>260</v>
      </c>
      <c r="U79" s="98">
        <v>100</v>
      </c>
      <c r="V79" s="98" t="s">
        <v>250</v>
      </c>
      <c r="W79" s="98" t="s">
        <v>250</v>
      </c>
      <c r="X79" s="98">
        <v>0.25</v>
      </c>
      <c r="Y79" s="98">
        <v>0.18</v>
      </c>
      <c r="Z79" s="98">
        <v>2.8</v>
      </c>
      <c r="AA79" s="98">
        <v>1.1000000000000001</v>
      </c>
      <c r="AB79" s="98">
        <v>0.96</v>
      </c>
      <c r="AC79" s="98">
        <v>0.45</v>
      </c>
      <c r="AD79" s="98">
        <v>980</v>
      </c>
      <c r="AE79" s="98">
        <v>110</v>
      </c>
      <c r="AF79" s="95">
        <v>3.8999999999999998E-3</v>
      </c>
      <c r="AG79" s="97">
        <v>6.0000000000000001E-3</v>
      </c>
      <c r="AH79" s="96">
        <v>4.99</v>
      </c>
      <c r="AI79" s="96">
        <v>0.82</v>
      </c>
      <c r="AJ79" s="95">
        <v>2.1999999999999999E-2</v>
      </c>
      <c r="AK79" s="95">
        <v>2.1000000000000001E-2</v>
      </c>
      <c r="AL79" s="96">
        <v>0.99</v>
      </c>
      <c r="AM79" s="96">
        <v>0.55000000000000004</v>
      </c>
      <c r="AN79" s="96">
        <v>2.41</v>
      </c>
      <c r="AO79" s="96">
        <v>0.61</v>
      </c>
      <c r="AP79" s="96">
        <v>0.26</v>
      </c>
      <c r="AQ79" s="96">
        <v>0.12</v>
      </c>
      <c r="AR79" s="96">
        <v>17.7</v>
      </c>
      <c r="AS79" s="93">
        <v>3.5</v>
      </c>
      <c r="AT79" s="96">
        <v>6.1</v>
      </c>
      <c r="AU79" s="96">
        <v>0.98</v>
      </c>
      <c r="AV79" s="99">
        <v>85</v>
      </c>
      <c r="AW79" s="98">
        <v>12</v>
      </c>
      <c r="AX79" s="98">
        <v>31.8</v>
      </c>
      <c r="AY79" s="96">
        <v>4</v>
      </c>
      <c r="AZ79" s="98">
        <v>148</v>
      </c>
      <c r="BA79" s="98">
        <v>20</v>
      </c>
      <c r="BB79" s="98">
        <v>28.8</v>
      </c>
      <c r="BC79" s="93">
        <v>5</v>
      </c>
      <c r="BD79" s="98">
        <v>267</v>
      </c>
      <c r="BE79" s="98">
        <v>38</v>
      </c>
      <c r="BF79" s="98">
        <v>53.1</v>
      </c>
      <c r="BG79" s="99">
        <v>7</v>
      </c>
      <c r="BI79" s="93">
        <v>5.8</v>
      </c>
      <c r="BJ79" s="98">
        <v>2.9</v>
      </c>
      <c r="BK79" s="98">
        <v>511000</v>
      </c>
      <c r="BL79" s="98">
        <v>54000</v>
      </c>
      <c r="BM79" s="98">
        <v>9000</v>
      </c>
      <c r="BN79" s="98">
        <v>1100</v>
      </c>
      <c r="BO79" s="99">
        <v>46.7</v>
      </c>
      <c r="BP79" s="98">
        <v>3.8</v>
      </c>
      <c r="BQ79" s="99">
        <v>83.7</v>
      </c>
      <c r="BR79" s="98">
        <v>6.8</v>
      </c>
      <c r="BT79" s="95">
        <f>BQ79/BD79</f>
        <v>0.31348314606741573</v>
      </c>
      <c r="BU79" s="96">
        <f>AH79/AL79</f>
        <v>5.0404040404040407</v>
      </c>
      <c r="BV79" s="96">
        <f>BK79/BM79</f>
        <v>56.777777777777779</v>
      </c>
      <c r="BW79" s="96">
        <f>BO79/BQ79</f>
        <v>0.55794504181600957</v>
      </c>
      <c r="BX79" s="99">
        <f>CK79/SQRT(CJ79*CL79)</f>
        <v>132.08133662231864</v>
      </c>
      <c r="BY79" s="96">
        <f>AH79/AL79</f>
        <v>5.0404040404040407</v>
      </c>
      <c r="BZ79" s="97">
        <f>(AH79/AL79)/AD79</f>
        <v>5.1432694289837147E-3</v>
      </c>
      <c r="CA79" s="95">
        <f t="shared" si="50"/>
        <v>0.1217031526305095</v>
      </c>
      <c r="CB79" s="99">
        <f t="shared" si="100"/>
        <v>136.97819863665728</v>
      </c>
      <c r="CC79" s="99">
        <f t="shared" si="100"/>
        <v>11.128455803217079</v>
      </c>
      <c r="CD79" s="100">
        <f t="shared" si="35"/>
        <v>722.15686482624312</v>
      </c>
      <c r="CE79" s="100">
        <f t="shared" si="51"/>
        <v>759.87627822391858</v>
      </c>
      <c r="CF79" s="100">
        <f t="shared" si="101"/>
        <v>50.28510300672454</v>
      </c>
      <c r="CG79" s="96">
        <f>2.28+3.99*LOG(AH79/((CB79*BI79)^(1/2)))</f>
        <v>-0.72023731411131431</v>
      </c>
      <c r="CH79" s="96">
        <f t="shared" si="52"/>
        <v>0.58031608013119707</v>
      </c>
      <c r="CJ79" s="95">
        <f>AF79/CJ$4</f>
        <v>1.6455696202531647E-2</v>
      </c>
      <c r="CK79" s="93">
        <f>AH79/CK$4</f>
        <v>8.1535947712418313</v>
      </c>
      <c r="CL79" s="93">
        <f>AJ79/CL$4</f>
        <v>0.23157894736842102</v>
      </c>
      <c r="CM79" s="93">
        <f>AL79/CM$4</f>
        <v>2.119914346895075</v>
      </c>
      <c r="CN79" s="93">
        <f>AN79/CN$4</f>
        <v>15.751633986928105</v>
      </c>
      <c r="CO79" s="93">
        <f>AP79/CO$4</f>
        <v>4.4827586206896548</v>
      </c>
      <c r="CP79" s="93">
        <f>AR79/CP$4</f>
        <v>86.131386861313871</v>
      </c>
      <c r="CQ79" s="93">
        <f>AT79/CQ$4</f>
        <v>163.10160427807486</v>
      </c>
      <c r="CR79" s="93">
        <f>AV79/CR$4</f>
        <v>334.64566929133861</v>
      </c>
      <c r="CS79" s="93">
        <f>AX79/CS$4</f>
        <v>561.83745583038876</v>
      </c>
      <c r="CT79" s="93">
        <f>AZ79/CT$4</f>
        <v>894.25981873111778</v>
      </c>
      <c r="CU79" s="93">
        <f>BB79/CU$4</f>
        <v>1129.4117647058824</v>
      </c>
      <c r="CV79" s="93">
        <f>BD79/CV$4</f>
        <v>1570.5882352941176</v>
      </c>
      <c r="CW79" s="93">
        <f>BF79/CW$4</f>
        <v>2090.5511811023625</v>
      </c>
    </row>
    <row r="80" spans="1:101" s="98" customFormat="1">
      <c r="A80" s="3" t="s">
        <v>320</v>
      </c>
      <c r="B80" s="3" t="s">
        <v>268</v>
      </c>
      <c r="C80" s="3"/>
      <c r="D80" s="93">
        <v>7.0140000000000002</v>
      </c>
      <c r="E80" s="94">
        <v>0.191</v>
      </c>
      <c r="F80" s="94">
        <v>1.1000000000000001E-3</v>
      </c>
      <c r="G80" s="95">
        <v>13.861000000000001</v>
      </c>
      <c r="H80" s="96">
        <v>0.34</v>
      </c>
      <c r="I80" s="97">
        <v>0.52759999999999996</v>
      </c>
      <c r="J80" s="95">
        <v>1.0999999999999999E-2</v>
      </c>
      <c r="K80" s="96">
        <v>0.72002999999999995</v>
      </c>
      <c r="M80" s="99">
        <v>2731.4</v>
      </c>
      <c r="N80" s="98">
        <v>48</v>
      </c>
      <c r="O80" s="99">
        <v>2749.9</v>
      </c>
      <c r="P80" s="98">
        <v>4.8</v>
      </c>
      <c r="Q80" s="93">
        <v>0.67</v>
      </c>
      <c r="R80" s="97">
        <v>2.3999999999999998E-3</v>
      </c>
      <c r="T80" s="98">
        <v>240</v>
      </c>
      <c r="U80" s="98">
        <v>100</v>
      </c>
      <c r="V80" s="98" t="s">
        <v>250</v>
      </c>
      <c r="W80" s="98" t="s">
        <v>250</v>
      </c>
      <c r="X80" s="98">
        <v>0.14000000000000001</v>
      </c>
      <c r="Y80" s="98">
        <v>0.15</v>
      </c>
      <c r="Z80" s="98">
        <v>4.0999999999999996</v>
      </c>
      <c r="AA80" s="98">
        <v>1.2</v>
      </c>
      <c r="AB80" s="98">
        <v>1.57</v>
      </c>
      <c r="AC80" s="98">
        <v>0.43</v>
      </c>
      <c r="AD80" s="98">
        <v>1110</v>
      </c>
      <c r="AE80" s="98">
        <v>100</v>
      </c>
      <c r="AF80" s="95" t="s">
        <v>250</v>
      </c>
      <c r="AG80" s="97" t="s">
        <v>250</v>
      </c>
      <c r="AH80" s="96">
        <v>7.1</v>
      </c>
      <c r="AI80" s="96">
        <v>1.1000000000000001</v>
      </c>
      <c r="AJ80" s="95">
        <v>4.5999999999999999E-2</v>
      </c>
      <c r="AK80" s="95">
        <v>2.9000000000000001E-2</v>
      </c>
      <c r="AL80" s="96">
        <v>0.85</v>
      </c>
      <c r="AM80" s="96">
        <v>0.52</v>
      </c>
      <c r="AN80" s="96">
        <v>2.27</v>
      </c>
      <c r="AO80" s="96">
        <v>0.69</v>
      </c>
      <c r="AP80" s="96">
        <v>0.43</v>
      </c>
      <c r="AQ80" s="96">
        <v>0.17</v>
      </c>
      <c r="AR80" s="96">
        <v>17.3</v>
      </c>
      <c r="AS80" s="93">
        <v>3.1</v>
      </c>
      <c r="AT80" s="96">
        <v>6.59</v>
      </c>
      <c r="AU80" s="96">
        <v>0.8</v>
      </c>
      <c r="AV80" s="99">
        <v>98.1</v>
      </c>
      <c r="AW80" s="98">
        <v>8.8000000000000007</v>
      </c>
      <c r="AX80" s="98">
        <v>36.700000000000003</v>
      </c>
      <c r="AY80" s="96">
        <v>3.8</v>
      </c>
      <c r="AZ80" s="98">
        <v>178</v>
      </c>
      <c r="BA80" s="98">
        <v>18</v>
      </c>
      <c r="BB80" s="98">
        <v>36.1</v>
      </c>
      <c r="BC80" s="93">
        <v>3.3</v>
      </c>
      <c r="BD80" s="98">
        <v>320</v>
      </c>
      <c r="BE80" s="98">
        <v>29</v>
      </c>
      <c r="BF80" s="98">
        <v>63.4</v>
      </c>
      <c r="BG80" s="99">
        <v>5.7</v>
      </c>
      <c r="BI80" s="93">
        <v>2.2999999999999998</v>
      </c>
      <c r="BJ80" s="98">
        <v>1.7</v>
      </c>
      <c r="BK80" s="98">
        <v>556000</v>
      </c>
      <c r="BL80" s="98">
        <v>56000</v>
      </c>
      <c r="BM80" s="98">
        <v>10700</v>
      </c>
      <c r="BN80" s="98">
        <v>1200</v>
      </c>
      <c r="BO80" s="99">
        <v>60.4</v>
      </c>
      <c r="BP80" s="98">
        <v>4.4000000000000004</v>
      </c>
      <c r="BQ80" s="99">
        <v>102.2</v>
      </c>
      <c r="BR80" s="98">
        <v>7.4</v>
      </c>
      <c r="BT80" s="95">
        <f>BQ80/BD80</f>
        <v>0.31937500000000002</v>
      </c>
      <c r="BU80" s="96">
        <f>AH80/AL80</f>
        <v>8.3529411764705888</v>
      </c>
      <c r="BV80" s="96">
        <f>BK80/BM80</f>
        <v>51.962616822429908</v>
      </c>
      <c r="BW80" s="96">
        <f>BO80/BQ80</f>
        <v>0.59099804305283754</v>
      </c>
      <c r="BX80" s="99"/>
      <c r="BY80" s="96">
        <f>AH80/AL80</f>
        <v>8.3529411764705888</v>
      </c>
      <c r="BZ80" s="97">
        <f>(AH80/AL80)/AD80</f>
        <v>7.5251722310545844E-3</v>
      </c>
      <c r="CA80" s="95">
        <f t="shared" si="50"/>
        <v>0.20977614989549073</v>
      </c>
      <c r="CB80" s="99">
        <f t="shared" si="100"/>
        <v>167.25414457188023</v>
      </c>
      <c r="CC80" s="99">
        <f t="shared" si="100"/>
        <v>12.110378374089175</v>
      </c>
      <c r="CD80" s="100">
        <f t="shared" si="35"/>
        <v>645.62749893398575</v>
      </c>
      <c r="CE80" s="100">
        <f t="shared" si="51"/>
        <v>677.67601823733116</v>
      </c>
      <c r="CF80" s="100">
        <f t="shared" si="101"/>
        <v>62.80304062113359</v>
      </c>
      <c r="CG80" s="96">
        <f>2.28+3.99*LOG(AH80/((CB80*BI80)^(1/2)))</f>
        <v>0.51923688612159169</v>
      </c>
      <c r="CH80" s="96">
        <f t="shared" si="52"/>
        <v>0.80669077412325918</v>
      </c>
      <c r="CJ80" s="95"/>
      <c r="CK80" s="93">
        <f>AH80/CK$4</f>
        <v>11.601307189542483</v>
      </c>
      <c r="CL80" s="93">
        <f>AJ80/CL$4</f>
        <v>0.48421052631578948</v>
      </c>
      <c r="CM80" s="93">
        <f>AL80/CM$4</f>
        <v>1.8201284796573873</v>
      </c>
      <c r="CN80" s="93">
        <f>AN80/CN$4</f>
        <v>14.836601307189543</v>
      </c>
      <c r="CO80" s="93">
        <f>AP80/CO$4</f>
        <v>7.4137931034482758</v>
      </c>
      <c r="CP80" s="93">
        <f>AR80/CP$4</f>
        <v>84.184914841849164</v>
      </c>
      <c r="CQ80" s="93">
        <f>AT80/CQ$4</f>
        <v>176.20320855614972</v>
      </c>
      <c r="CR80" s="93">
        <f>AV80/CR$4</f>
        <v>386.22047244094483</v>
      </c>
      <c r="CS80" s="93">
        <f>AX80/CS$4</f>
        <v>648.40989399293289</v>
      </c>
      <c r="CT80" s="93">
        <f>AZ80/CT$4</f>
        <v>1075.5287009063443</v>
      </c>
      <c r="CU80" s="93">
        <f>BB80/CU$4</f>
        <v>1415.686274509804</v>
      </c>
      <c r="CV80" s="93">
        <f>BD80/CV$4</f>
        <v>1882.3529411764705</v>
      </c>
      <c r="CW80" s="93">
        <f>BF80/CW$4</f>
        <v>2496.0629921259842</v>
      </c>
    </row>
    <row r="81" spans="1:101" s="98" customFormat="1">
      <c r="A81" s="3" t="s">
        <v>321</v>
      </c>
      <c r="B81" s="3" t="s">
        <v>268</v>
      </c>
      <c r="C81" s="3"/>
      <c r="D81" s="93">
        <v>7.0460000000000003</v>
      </c>
      <c r="E81" s="94">
        <v>0.19009999999999999</v>
      </c>
      <c r="F81" s="94">
        <v>1E-3</v>
      </c>
      <c r="G81" s="95">
        <v>13.77</v>
      </c>
      <c r="H81" s="96">
        <v>0.34</v>
      </c>
      <c r="I81" s="97">
        <v>0.52659999999999996</v>
      </c>
      <c r="J81" s="95">
        <v>1.0999999999999999E-2</v>
      </c>
      <c r="K81" s="96">
        <v>0.80637999999999999</v>
      </c>
      <c r="M81" s="99">
        <v>2727</v>
      </c>
      <c r="N81" s="98">
        <v>48</v>
      </c>
      <c r="O81" s="99">
        <v>2741.2</v>
      </c>
      <c r="P81" s="98">
        <v>3.7</v>
      </c>
      <c r="Q81" s="93">
        <v>0.57999999999999996</v>
      </c>
      <c r="R81" s="97">
        <v>2.0100000000000001E-3</v>
      </c>
      <c r="T81" s="98">
        <v>394</v>
      </c>
      <c r="U81" s="98">
        <v>77</v>
      </c>
      <c r="V81" s="98">
        <v>0.56000000000000005</v>
      </c>
      <c r="W81" s="98">
        <v>0.61</v>
      </c>
      <c r="X81" s="98">
        <v>4.1000000000000002E-2</v>
      </c>
      <c r="Y81" s="98">
        <v>8.3000000000000004E-2</v>
      </c>
      <c r="Z81" s="98">
        <v>2.7</v>
      </c>
      <c r="AA81" s="98">
        <v>0.78</v>
      </c>
      <c r="AB81" s="98">
        <v>0.98</v>
      </c>
      <c r="AC81" s="98">
        <v>0.39</v>
      </c>
      <c r="AD81" s="98">
        <v>2620</v>
      </c>
      <c r="AE81" s="98">
        <v>210</v>
      </c>
      <c r="AF81" s="95">
        <v>1.0999999999999999E-2</v>
      </c>
      <c r="AG81" s="97">
        <v>0.01</v>
      </c>
      <c r="AH81" s="96">
        <v>6.3</v>
      </c>
      <c r="AI81" s="96">
        <v>1.2</v>
      </c>
      <c r="AJ81" s="95">
        <v>0.23899999999999999</v>
      </c>
      <c r="AK81" s="95">
        <v>6.6000000000000003E-2</v>
      </c>
      <c r="AL81" s="96">
        <v>4.7</v>
      </c>
      <c r="AM81" s="96">
        <v>1.6</v>
      </c>
      <c r="AN81" s="96">
        <v>9.1999999999999993</v>
      </c>
      <c r="AO81" s="96">
        <v>1.9</v>
      </c>
      <c r="AP81" s="96">
        <v>1.1100000000000001</v>
      </c>
      <c r="AQ81" s="96">
        <v>0.37</v>
      </c>
      <c r="AR81" s="96">
        <v>54.4</v>
      </c>
      <c r="AS81" s="93">
        <v>5.7</v>
      </c>
      <c r="AT81" s="96">
        <v>20.100000000000001</v>
      </c>
      <c r="AU81" s="96">
        <v>2.2999999999999998</v>
      </c>
      <c r="AV81" s="99">
        <v>239</v>
      </c>
      <c r="AW81" s="98">
        <v>19</v>
      </c>
      <c r="AX81" s="98">
        <v>86</v>
      </c>
      <c r="AY81" s="96">
        <v>9.4</v>
      </c>
      <c r="AZ81" s="98">
        <v>407</v>
      </c>
      <c r="BA81" s="98">
        <v>47</v>
      </c>
      <c r="BB81" s="98">
        <v>74.2</v>
      </c>
      <c r="BC81" s="93">
        <v>6.1</v>
      </c>
      <c r="BD81" s="98">
        <v>615</v>
      </c>
      <c r="BE81" s="98">
        <v>61</v>
      </c>
      <c r="BF81" s="98">
        <v>119</v>
      </c>
      <c r="BG81" s="99">
        <v>15</v>
      </c>
      <c r="BI81" s="93">
        <v>5.9</v>
      </c>
      <c r="BJ81" s="98">
        <v>2</v>
      </c>
      <c r="BK81" s="98">
        <v>545000</v>
      </c>
      <c r="BL81" s="98">
        <v>61000</v>
      </c>
      <c r="BM81" s="98">
        <v>9410</v>
      </c>
      <c r="BN81" s="98">
        <v>830</v>
      </c>
      <c r="BO81" s="99">
        <v>87</v>
      </c>
      <c r="BP81" s="98">
        <v>7.5</v>
      </c>
      <c r="BQ81" s="99">
        <v>120</v>
      </c>
      <c r="BR81" s="98">
        <v>11</v>
      </c>
      <c r="BT81" s="95">
        <f>BQ81/BD81</f>
        <v>0.1951219512195122</v>
      </c>
      <c r="BU81" s="96">
        <f>AH81/AL81</f>
        <v>1.3404255319148934</v>
      </c>
      <c r="BV81" s="96">
        <f>BK81/BM81</f>
        <v>57.917109458023383</v>
      </c>
      <c r="BW81" s="96">
        <f>BO81/BQ81</f>
        <v>0.72499999999999998</v>
      </c>
      <c r="BX81" s="99">
        <f>CK81/SQRT(CJ81*CL81)</f>
        <v>30.125191055144494</v>
      </c>
      <c r="BY81" s="96">
        <f>AH81/AL81</f>
        <v>1.3404255319148934</v>
      </c>
      <c r="BZ81" s="97">
        <f>(AH81/AL81)/AD81</f>
        <v>5.1161279844079898E-4</v>
      </c>
      <c r="CA81" s="95">
        <f t="shared" si="50"/>
        <v>0.15168870728244008</v>
      </c>
      <c r="CB81" s="99">
        <f t="shared" si="100"/>
        <v>196.38451417441905</v>
      </c>
      <c r="CC81" s="99">
        <f t="shared" si="100"/>
        <v>18.001913799321745</v>
      </c>
      <c r="CD81" s="100">
        <f t="shared" si="35"/>
        <v>723.69141416200569</v>
      </c>
      <c r="CE81" s="100">
        <f t="shared" si="51"/>
        <v>761.52943853971772</v>
      </c>
      <c r="CF81" s="100">
        <f t="shared" si="101"/>
        <v>35.173341213912551</v>
      </c>
      <c r="CG81" s="96">
        <f>2.28+3.99*LOG(AH81/((CB81*BI81)^(1/2)))</f>
        <v>-0.64322991206532443</v>
      </c>
      <c r="CH81" s="96">
        <f t="shared" si="52"/>
        <v>0.49842490292476926</v>
      </c>
      <c r="CJ81" s="95">
        <f>AF81/CJ$4</f>
        <v>4.6413502109704644E-2</v>
      </c>
      <c r="CK81" s="93">
        <f>AH81/CK$4</f>
        <v>10.294117647058824</v>
      </c>
      <c r="CL81" s="93">
        <f>AJ81/CL$4</f>
        <v>2.5157894736842104</v>
      </c>
      <c r="CM81" s="93">
        <f>AL81/CM$4</f>
        <v>10.06423982869379</v>
      </c>
      <c r="CN81" s="93">
        <f>AN81/CN$4</f>
        <v>60.130718954248366</v>
      </c>
      <c r="CO81" s="93">
        <f>AP81/CO$4</f>
        <v>19.137931034482758</v>
      </c>
      <c r="CP81" s="93">
        <f>AR81/CP$4</f>
        <v>264.72019464720194</v>
      </c>
      <c r="CQ81" s="93">
        <f>AT81/CQ$4</f>
        <v>537.43315508021385</v>
      </c>
      <c r="CR81" s="93">
        <f>AV81/CR$4</f>
        <v>940.94488188976379</v>
      </c>
      <c r="CS81" s="93">
        <f>AX81/CS$4</f>
        <v>1519.434628975265</v>
      </c>
      <c r="CT81" s="93">
        <f>AZ81/CT$4</f>
        <v>2459.2145015105739</v>
      </c>
      <c r="CU81" s="93">
        <f>BB81/CU$4</f>
        <v>2909.8039215686276</v>
      </c>
      <c r="CV81" s="93">
        <f>BD81/CV$4</f>
        <v>3617.6470588235293</v>
      </c>
      <c r="CW81" s="93">
        <f>BF81/CW$4</f>
        <v>4685.0393700787399</v>
      </c>
    </row>
    <row r="82" spans="1:101" s="107" customFormat="1">
      <c r="A82" s="101" t="s">
        <v>281</v>
      </c>
      <c r="B82" s="101"/>
      <c r="C82" s="101"/>
      <c r="D82" s="102"/>
      <c r="E82" s="103"/>
      <c r="F82" s="103"/>
      <c r="G82" s="104"/>
      <c r="H82" s="105"/>
      <c r="I82" s="106"/>
      <c r="J82" s="104"/>
      <c r="K82" s="105"/>
      <c r="M82" s="108"/>
      <c r="O82" s="108"/>
      <c r="R82" s="106"/>
      <c r="AF82" s="104"/>
      <c r="AG82" s="106"/>
      <c r="AH82" s="105"/>
      <c r="AI82" s="105"/>
      <c r="AJ82" s="104"/>
      <c r="AK82" s="104"/>
      <c r="AL82" s="105"/>
      <c r="AM82" s="105"/>
      <c r="AN82" s="105"/>
      <c r="AO82" s="105"/>
      <c r="AP82" s="105"/>
      <c r="AQ82" s="105"/>
      <c r="AR82" s="105"/>
      <c r="AS82" s="102"/>
      <c r="AT82" s="105"/>
      <c r="AU82" s="105"/>
      <c r="AV82" s="108"/>
      <c r="BC82" s="102"/>
      <c r="BI82" s="102"/>
      <c r="BO82" s="108"/>
      <c r="BQ82" s="108"/>
      <c r="BT82" s="95"/>
      <c r="BU82" s="96"/>
      <c r="BV82" s="96"/>
      <c r="BW82" s="96"/>
      <c r="BX82" s="108">
        <f>AVERAGE(BX46:BX81)</f>
        <v>48.714480588958544</v>
      </c>
      <c r="BY82" s="96"/>
      <c r="BZ82" s="97"/>
      <c r="CA82" s="104">
        <f>AVERAGE(CA46:CA81)</f>
        <v>0.1417849791196493</v>
      </c>
      <c r="CB82" s="108"/>
      <c r="CC82" s="108"/>
      <c r="CD82" s="109">
        <f>AVERAGE(CD46:CD81)</f>
        <v>734.43670951398178</v>
      </c>
      <c r="CE82" s="109">
        <f>AVERAGE(CE46:CE81)</f>
        <v>773.15011007151475</v>
      </c>
      <c r="CF82" s="100"/>
      <c r="CG82" s="105">
        <f>AVERAGE(CG46:CG81)</f>
        <v>-0.68130992247807987</v>
      </c>
      <c r="CH82" s="105">
        <f>AVERAGE(CH46:CH81)</f>
        <v>0.49183229253286337</v>
      </c>
      <c r="CJ82" s="95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93"/>
    </row>
    <row r="83" spans="1:101" s="107" customFormat="1">
      <c r="A83" s="101" t="s">
        <v>282</v>
      </c>
      <c r="B83" s="101"/>
      <c r="C83" s="101"/>
      <c r="D83" s="102"/>
      <c r="E83" s="103"/>
      <c r="F83" s="103"/>
      <c r="G83" s="104"/>
      <c r="H83" s="105"/>
      <c r="I83" s="106"/>
      <c r="J83" s="104"/>
      <c r="K83" s="105"/>
      <c r="M83" s="108"/>
      <c r="O83" s="108"/>
      <c r="R83" s="106"/>
      <c r="AF83" s="104"/>
      <c r="AG83" s="106"/>
      <c r="AH83" s="105"/>
      <c r="AI83" s="105"/>
      <c r="AJ83" s="104"/>
      <c r="AK83" s="104"/>
      <c r="AL83" s="105"/>
      <c r="AM83" s="105"/>
      <c r="AN83" s="105"/>
      <c r="AO83" s="105"/>
      <c r="AP83" s="105"/>
      <c r="AQ83" s="105"/>
      <c r="AR83" s="105"/>
      <c r="AS83" s="102"/>
      <c r="AT83" s="105"/>
      <c r="AU83" s="105"/>
      <c r="AV83" s="108"/>
      <c r="BI83" s="102"/>
      <c r="BO83" s="108"/>
      <c r="BQ83" s="108"/>
      <c r="BT83" s="95"/>
      <c r="BU83" s="96"/>
      <c r="BV83" s="96"/>
      <c r="BW83" s="96"/>
      <c r="BX83" s="108">
        <f>MEDIAN(BX46:BX81)</f>
        <v>27.410764328554517</v>
      </c>
      <c r="BY83" s="96"/>
      <c r="BZ83" s="97"/>
      <c r="CA83" s="104">
        <f>MEDIAN(CA46:CA81)</f>
        <v>0.14183825516892001</v>
      </c>
      <c r="CB83" s="108"/>
      <c r="CC83" s="108"/>
      <c r="CD83" s="109">
        <f>MEDIAN(CD46:CD81)</f>
        <v>735.25622964782951</v>
      </c>
      <c r="CE83" s="109">
        <f>MEDIAN(CE46:CE81)</f>
        <v>773.99435842418859</v>
      </c>
      <c r="CF83" s="100"/>
      <c r="CG83" s="105">
        <f>MEDIAN(CG46:CG81)</f>
        <v>-0.83019110958324216</v>
      </c>
      <c r="CH83" s="105">
        <f>MEDIAN(CH46:CH81)</f>
        <v>0.49842490292476926</v>
      </c>
      <c r="CJ83" s="95"/>
      <c r="CK83" s="93"/>
      <c r="CL83" s="93"/>
      <c r="CM83" s="93"/>
      <c r="CN83" s="93"/>
      <c r="CO83" s="93"/>
      <c r="CP83" s="93"/>
      <c r="CQ83" s="93"/>
      <c r="CR83" s="93"/>
      <c r="CS83" s="93"/>
      <c r="CT83" s="93"/>
      <c r="CU83" s="93"/>
      <c r="CV83" s="93"/>
      <c r="CW83" s="93"/>
    </row>
    <row r="84" spans="1:101" s="107" customFormat="1">
      <c r="A84" s="101" t="s">
        <v>204</v>
      </c>
      <c r="B84" s="101"/>
      <c r="C84" s="101"/>
      <c r="D84" s="102"/>
      <c r="E84" s="103"/>
      <c r="F84" s="103"/>
      <c r="G84" s="104"/>
      <c r="H84" s="105"/>
      <c r="I84" s="106"/>
      <c r="J84" s="104"/>
      <c r="K84" s="105"/>
      <c r="M84" s="108"/>
      <c r="O84" s="108"/>
      <c r="R84" s="106"/>
      <c r="AF84" s="104"/>
      <c r="AG84" s="106"/>
      <c r="AH84" s="105"/>
      <c r="AI84" s="105"/>
      <c r="AJ84" s="104"/>
      <c r="AK84" s="104"/>
      <c r="AL84" s="105"/>
      <c r="AM84" s="105"/>
      <c r="AN84" s="105"/>
      <c r="AO84" s="105"/>
      <c r="AP84" s="105"/>
      <c r="AQ84" s="105"/>
      <c r="AR84" s="105"/>
      <c r="AS84" s="102"/>
      <c r="AT84" s="105"/>
      <c r="AU84" s="105"/>
      <c r="AV84" s="108"/>
      <c r="BI84" s="102"/>
      <c r="BO84" s="108"/>
      <c r="BQ84" s="108"/>
      <c r="BT84" s="95"/>
      <c r="BU84" s="96"/>
      <c r="BV84" s="96"/>
      <c r="BW84" s="96"/>
      <c r="BX84" s="108">
        <f>_xlfn.STDEV.S(BX46:BX81)</f>
        <v>70.102794708444762</v>
      </c>
      <c r="BY84" s="96"/>
      <c r="BZ84" s="97"/>
      <c r="CA84" s="104">
        <f>_xlfn.STDEV.S(CA46:CA81)</f>
        <v>3.6438007675535886E-2</v>
      </c>
      <c r="CB84" s="108"/>
      <c r="CC84" s="108"/>
      <c r="CD84" s="109">
        <f>_xlfn.STDEV.S(CD46:CD81)</f>
        <v>31.494024784722509</v>
      </c>
      <c r="CE84" s="109">
        <f>_xlfn.STDEV.S(CE46:CE81)</f>
        <v>33.95079646862478</v>
      </c>
      <c r="CF84" s="100"/>
      <c r="CG84" s="105">
        <f>_xlfn.STDEV.S(CG46:CG81)</f>
        <v>0.42544861945308088</v>
      </c>
      <c r="CH84" s="105">
        <f>_xlfn.STDEV.S(CH46:CH81)</f>
        <v>0.11092855170599894</v>
      </c>
      <c r="CJ84" s="95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</row>
    <row r="85" spans="1:101" s="107" customFormat="1">
      <c r="A85" s="101" t="s">
        <v>283</v>
      </c>
      <c r="B85" s="101"/>
      <c r="C85" s="101"/>
      <c r="D85" s="102"/>
      <c r="E85" s="103"/>
      <c r="F85" s="103"/>
      <c r="G85" s="104"/>
      <c r="H85" s="105"/>
      <c r="I85" s="106"/>
      <c r="J85" s="104"/>
      <c r="K85" s="105"/>
      <c r="M85" s="108"/>
      <c r="O85" s="108"/>
      <c r="R85" s="106"/>
      <c r="AF85" s="104"/>
      <c r="AG85" s="106"/>
      <c r="AH85" s="105"/>
      <c r="AI85" s="105"/>
      <c r="AJ85" s="104"/>
      <c r="AK85" s="104"/>
      <c r="AL85" s="105"/>
      <c r="AM85" s="105"/>
      <c r="AN85" s="105"/>
      <c r="AO85" s="105"/>
      <c r="AP85" s="105"/>
      <c r="AQ85" s="105"/>
      <c r="AR85" s="105"/>
      <c r="AS85" s="102"/>
      <c r="AT85" s="105"/>
      <c r="AU85" s="105"/>
      <c r="AV85" s="108"/>
      <c r="BI85" s="102"/>
      <c r="BO85" s="108"/>
      <c r="BQ85" s="108"/>
      <c r="BT85" s="95"/>
      <c r="BU85" s="96"/>
      <c r="BV85" s="96"/>
      <c r="BW85" s="96"/>
      <c r="BX85" s="105">
        <f>BX84/BX82</f>
        <v>1.4390545451968551</v>
      </c>
      <c r="BY85" s="96"/>
      <c r="BZ85" s="97"/>
      <c r="CA85" s="104">
        <f>CA84/CA82</f>
        <v>0.25699483754754188</v>
      </c>
      <c r="CB85" s="108"/>
      <c r="CC85" s="108"/>
      <c r="CD85" s="110">
        <f>CD84/CD82</f>
        <v>4.2881877194787664E-2</v>
      </c>
      <c r="CE85" s="110">
        <f>CE84/CE82</f>
        <v>4.3912295977665196E-2</v>
      </c>
      <c r="CF85" s="100"/>
      <c r="CG85" s="105">
        <f>CG84/CG82</f>
        <v>-0.62445680800541847</v>
      </c>
      <c r="CH85" s="105">
        <f>CH84/CH82</f>
        <v>0.22554141602767347</v>
      </c>
      <c r="CJ85" s="95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3"/>
      <c r="CV85" s="93"/>
      <c r="CW85" s="93"/>
    </row>
    <row r="86" spans="1:101" s="107" customFormat="1">
      <c r="A86" s="101"/>
      <c r="B86" s="101"/>
      <c r="C86" s="101"/>
      <c r="D86" s="102"/>
      <c r="E86" s="103"/>
      <c r="F86" s="103"/>
      <c r="G86" s="104"/>
      <c r="H86" s="105"/>
      <c r="I86" s="106"/>
      <c r="J86" s="104"/>
      <c r="K86" s="105"/>
      <c r="M86" s="108"/>
      <c r="O86" s="108"/>
      <c r="R86" s="106"/>
      <c r="AF86" s="104"/>
      <c r="AG86" s="106"/>
      <c r="AH86" s="105"/>
      <c r="AI86" s="105"/>
      <c r="AJ86" s="104"/>
      <c r="AK86" s="104"/>
      <c r="AL86" s="105"/>
      <c r="AM86" s="105"/>
      <c r="AN86" s="105"/>
      <c r="AO86" s="105"/>
      <c r="AP86" s="105"/>
      <c r="AQ86" s="105"/>
      <c r="AR86" s="105"/>
      <c r="AS86" s="102"/>
      <c r="AT86" s="105"/>
      <c r="AU86" s="105"/>
      <c r="AV86" s="108"/>
      <c r="BI86" s="102"/>
      <c r="BO86" s="108"/>
      <c r="BQ86" s="108"/>
      <c r="BT86" s="95"/>
      <c r="BU86" s="96"/>
      <c r="BV86" s="96"/>
      <c r="BW86" s="96"/>
      <c r="BX86" s="99"/>
      <c r="BY86" s="96"/>
      <c r="BZ86" s="97"/>
      <c r="CA86" s="95"/>
      <c r="CB86" s="108"/>
      <c r="CC86" s="108"/>
      <c r="CD86" s="100"/>
      <c r="CE86" s="100"/>
      <c r="CF86" s="100"/>
      <c r="CG86" s="105"/>
      <c r="CH86" s="96"/>
      <c r="CJ86" s="95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</row>
    <row r="87" spans="1:101" s="107" customFormat="1">
      <c r="A87" s="101"/>
      <c r="B87" s="101"/>
      <c r="C87" s="101"/>
      <c r="D87" s="102"/>
      <c r="E87" s="103"/>
      <c r="F87" s="103"/>
      <c r="G87" s="104"/>
      <c r="H87" s="105"/>
      <c r="I87" s="106"/>
      <c r="J87" s="104"/>
      <c r="K87" s="105"/>
      <c r="M87" s="108"/>
      <c r="O87" s="108"/>
      <c r="R87" s="106"/>
      <c r="AF87" s="104"/>
      <c r="AG87" s="106"/>
      <c r="AH87" s="105"/>
      <c r="AI87" s="105"/>
      <c r="AJ87" s="104"/>
      <c r="AK87" s="104"/>
      <c r="AL87" s="105"/>
      <c r="AM87" s="105"/>
      <c r="AN87" s="105"/>
      <c r="AO87" s="105"/>
      <c r="AP87" s="105"/>
      <c r="AQ87" s="105"/>
      <c r="AR87" s="105"/>
      <c r="AS87" s="102"/>
      <c r="AT87" s="105"/>
      <c r="AU87" s="105"/>
      <c r="AV87" s="108"/>
      <c r="BI87" s="102"/>
      <c r="BO87" s="108"/>
      <c r="BQ87" s="108"/>
      <c r="BT87" s="95"/>
      <c r="BU87" s="96"/>
      <c r="BV87" s="96"/>
      <c r="BW87" s="96"/>
      <c r="BX87" s="99"/>
      <c r="BY87" s="96"/>
      <c r="BZ87" s="97"/>
      <c r="CA87" s="95"/>
      <c r="CB87" s="108"/>
      <c r="CC87" s="108"/>
      <c r="CD87" s="100"/>
      <c r="CE87" s="100"/>
      <c r="CF87" s="100"/>
      <c r="CG87" s="105"/>
      <c r="CH87" s="96"/>
      <c r="CJ87" s="95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</row>
    <row r="88" spans="1:101" s="98" customFormat="1">
      <c r="A88" s="3" t="s">
        <v>322</v>
      </c>
      <c r="B88" s="92" t="s">
        <v>244</v>
      </c>
      <c r="C88" s="3"/>
      <c r="D88" s="93">
        <v>11.026</v>
      </c>
      <c r="E88" s="94">
        <v>0.1794</v>
      </c>
      <c r="F88" s="94">
        <v>1.4E-3</v>
      </c>
      <c r="G88" s="95">
        <v>12.14</v>
      </c>
      <c r="H88" s="96">
        <v>0.41</v>
      </c>
      <c r="I88" s="97">
        <v>0.49340000000000001</v>
      </c>
      <c r="J88" s="95">
        <v>1.4999999999999999E-2</v>
      </c>
      <c r="K88" s="96">
        <v>0.88483999999999996</v>
      </c>
      <c r="M88" s="99">
        <v>2585</v>
      </c>
      <c r="N88" s="98">
        <v>64</v>
      </c>
      <c r="O88" s="99">
        <v>2648.6</v>
      </c>
      <c r="P88" s="98">
        <v>9.8000000000000007</v>
      </c>
      <c r="Q88" s="93">
        <v>2.4</v>
      </c>
      <c r="R88" s="97">
        <v>8.3999999999999995E-3</v>
      </c>
      <c r="T88" s="98">
        <v>200</v>
      </c>
      <c r="U88" s="98">
        <v>150</v>
      </c>
      <c r="V88" s="98">
        <v>0.5</v>
      </c>
      <c r="W88" s="98">
        <v>1.4</v>
      </c>
      <c r="X88" s="98">
        <v>1.04</v>
      </c>
      <c r="Y88" s="98">
        <v>0.55000000000000004</v>
      </c>
      <c r="Z88" s="98">
        <v>2.76</v>
      </c>
      <c r="AA88" s="98">
        <v>0.78</v>
      </c>
      <c r="AB88" s="98">
        <v>1.07</v>
      </c>
      <c r="AC88" s="98">
        <v>0.49</v>
      </c>
      <c r="AD88" s="98">
        <v>1130</v>
      </c>
      <c r="AE88" s="98">
        <v>120</v>
      </c>
      <c r="AF88" s="95">
        <v>1.6E-2</v>
      </c>
      <c r="AG88" s="97">
        <v>1.4999999999999999E-2</v>
      </c>
      <c r="AH88" s="96">
        <v>4.5</v>
      </c>
      <c r="AI88" s="96">
        <v>0.82</v>
      </c>
      <c r="AJ88" s="95">
        <v>5.2999999999999999E-2</v>
      </c>
      <c r="AK88" s="95">
        <v>3.2000000000000001E-2</v>
      </c>
      <c r="AL88" s="96">
        <v>0.83</v>
      </c>
      <c r="AM88" s="96">
        <v>0.53</v>
      </c>
      <c r="AN88" s="96">
        <v>2.5099999999999998</v>
      </c>
      <c r="AO88" s="96">
        <v>0.83</v>
      </c>
      <c r="AP88" s="96">
        <v>0.46</v>
      </c>
      <c r="AQ88" s="96">
        <v>0.21</v>
      </c>
      <c r="AR88" s="96">
        <v>18.399999999999999</v>
      </c>
      <c r="AS88" s="93">
        <v>4.2</v>
      </c>
      <c r="AT88" s="96">
        <v>7.22</v>
      </c>
      <c r="AU88" s="96">
        <v>0.76</v>
      </c>
      <c r="AV88" s="99">
        <v>97.6</v>
      </c>
      <c r="AW88" s="98">
        <v>9.6999999999999993</v>
      </c>
      <c r="AX88" s="98">
        <v>38.799999999999997</v>
      </c>
      <c r="AY88" s="98">
        <v>3.3</v>
      </c>
      <c r="AZ88" s="98">
        <v>191</v>
      </c>
      <c r="BA88" s="98">
        <v>15</v>
      </c>
      <c r="BB88" s="98">
        <v>40.9</v>
      </c>
      <c r="BC88" s="98">
        <v>4.5999999999999996</v>
      </c>
      <c r="BD88" s="98">
        <v>340</v>
      </c>
      <c r="BE88" s="98">
        <v>34</v>
      </c>
      <c r="BF88" s="98">
        <v>68.7</v>
      </c>
      <c r="BG88" s="98">
        <v>6.9</v>
      </c>
      <c r="BI88" s="93">
        <v>4.0999999999999996</v>
      </c>
      <c r="BJ88" s="98">
        <v>2.4</v>
      </c>
      <c r="BK88" s="98">
        <v>517000</v>
      </c>
      <c r="BL88" s="98">
        <v>52000</v>
      </c>
      <c r="BM88" s="98">
        <v>8100</v>
      </c>
      <c r="BN88" s="98">
        <v>730</v>
      </c>
      <c r="BO88" s="99">
        <v>18.8</v>
      </c>
      <c r="BP88" s="98">
        <v>1.4</v>
      </c>
      <c r="BQ88" s="99">
        <v>48</v>
      </c>
      <c r="BR88" s="98">
        <v>3.9</v>
      </c>
      <c r="BT88" s="95">
        <f t="shared" ref="BT88:BT130" si="102">BQ88/BD88</f>
        <v>0.14117647058823529</v>
      </c>
      <c r="BU88" s="96">
        <f t="shared" ref="BU88:BU130" si="103">AH88/AL88</f>
        <v>5.4216867469879517</v>
      </c>
      <c r="BV88" s="96">
        <f t="shared" ref="BV88:BV130" si="104">BK88/BM88</f>
        <v>63.827160493827158</v>
      </c>
      <c r="BW88" s="96">
        <f t="shared" ref="BW88:BW130" si="105">BO88/BQ88</f>
        <v>0.39166666666666666</v>
      </c>
      <c r="BX88" s="99">
        <f>CK88/SQRT(CJ88*CL88)</f>
        <v>37.887778448916954</v>
      </c>
      <c r="BY88" s="96">
        <f t="shared" ref="BY88:BY130" si="106">AH88/AL88</f>
        <v>5.4216867469879517</v>
      </c>
      <c r="BZ88" s="97">
        <f t="shared" ref="BZ88:BZ130" si="107">(AH88/AL88)/AD88</f>
        <v>4.7979528734406656E-3</v>
      </c>
      <c r="CA88" s="95">
        <f t="shared" ref="CA88:CA130" si="108">CO88/SQRT(CN88*CP88)</f>
        <v>0.20693583052071907</v>
      </c>
      <c r="CB88" s="99">
        <f t="shared" ref="CB88:CC88" si="109">BQ88*(EXP(0.0001551*2740)+0.0072*EXP(2740*0.0009849))</f>
        <v>78.553805669767627</v>
      </c>
      <c r="CC88" s="99">
        <f t="shared" si="109"/>
        <v>6.3824967106686188</v>
      </c>
      <c r="CD88" s="100">
        <f t="shared" ref="CD88:CD130" si="110">4800/(5.711-LOG(BI88)-LOG(1)+LOG(0.75))-273.15</f>
        <v>692.00830658480822</v>
      </c>
      <c r="CE88" s="100">
        <f>4800/(5.711-LOG(BI88)-LOG(1)+LOG(0.5))-273.15</f>
        <v>727.43656310118683</v>
      </c>
      <c r="CF88" s="100">
        <f t="shared" si="101"/>
        <v>55.107405682788595</v>
      </c>
      <c r="CG88" s="96">
        <f>2.28+3.99*LOG(AH88/((CB88*BI88)^(1/2)))</f>
        <v>-0.1170444880505741</v>
      </c>
      <c r="CH88" s="96">
        <f t="shared" si="52"/>
        <v>0.68654987885601038</v>
      </c>
      <c r="CJ88" s="95">
        <f>AF88/CJ$4</f>
        <v>6.7510548523206759E-2</v>
      </c>
      <c r="CK88" s="93">
        <f t="shared" ref="CK88:CK130" si="111">AH88/CK$4</f>
        <v>7.3529411764705888</v>
      </c>
      <c r="CL88" s="93">
        <f t="shared" ref="CL88:CL130" si="112">AJ88/CL$4</f>
        <v>0.55789473684210522</v>
      </c>
      <c r="CM88" s="93">
        <f t="shared" ref="CM88:CM130" si="113">AL88/CM$4</f>
        <v>1.7773019271948607</v>
      </c>
      <c r="CN88" s="93">
        <f t="shared" ref="CN88:CN130" si="114">AN88/CN$4</f>
        <v>16.405228758169933</v>
      </c>
      <c r="CO88" s="93">
        <f t="shared" ref="CO88:CO130" si="115">AP88/CO$4</f>
        <v>7.931034482758621</v>
      </c>
      <c r="CP88" s="93">
        <f t="shared" ref="CP88:CP130" si="116">AR88/CP$4</f>
        <v>89.537712895377126</v>
      </c>
      <c r="CQ88" s="93">
        <f t="shared" ref="CQ88:CQ130" si="117">AT88/CQ$4</f>
        <v>193.04812834224597</v>
      </c>
      <c r="CR88" s="93">
        <f t="shared" ref="CR88:CR130" si="118">AV88/CR$4</f>
        <v>384.25196850393701</v>
      </c>
      <c r="CS88" s="93">
        <f t="shared" ref="CS88:CS130" si="119">AX88/CS$4</f>
        <v>685.51236749116606</v>
      </c>
      <c r="CT88" s="93">
        <f t="shared" ref="CT88:CT130" si="120">AZ88/CT$4</f>
        <v>1154.0785498489424</v>
      </c>
      <c r="CU88" s="93">
        <f t="shared" ref="CU88:CU130" si="121">BB88/CU$4</f>
        <v>1603.9215686274511</v>
      </c>
      <c r="CV88" s="93">
        <f t="shared" ref="CV88:CV130" si="122">BD88/CV$4</f>
        <v>1999.9999999999998</v>
      </c>
      <c r="CW88" s="93">
        <f t="shared" ref="CW88:CW130" si="123">BF88/CW$4</f>
        <v>2704.7244094488192</v>
      </c>
    </row>
    <row r="89" spans="1:101" s="118" customFormat="1">
      <c r="A89" s="111" t="s">
        <v>323</v>
      </c>
      <c r="B89" s="112" t="s">
        <v>244</v>
      </c>
      <c r="C89" s="111"/>
      <c r="D89" s="113">
        <v>11.032999999999999</v>
      </c>
      <c r="E89" s="114">
        <v>0.18459999999999999</v>
      </c>
      <c r="F89" s="114">
        <v>1.1000000000000001E-3</v>
      </c>
      <c r="G89" s="115">
        <v>13.121</v>
      </c>
      <c r="H89" s="116">
        <v>0.39</v>
      </c>
      <c r="I89" s="117">
        <v>0.51849999999999996</v>
      </c>
      <c r="J89" s="115">
        <v>1.4E-2</v>
      </c>
      <c r="K89" s="116">
        <v>0.63922000000000001</v>
      </c>
      <c r="M89" s="119">
        <v>2692.7</v>
      </c>
      <c r="N89" s="118">
        <v>60</v>
      </c>
      <c r="O89" s="119">
        <v>2695.2</v>
      </c>
      <c r="P89" s="118">
        <v>6.3</v>
      </c>
      <c r="Q89" s="113">
        <v>0.09</v>
      </c>
      <c r="R89" s="117">
        <v>1.06E-3</v>
      </c>
      <c r="T89" s="118">
        <v>880</v>
      </c>
      <c r="U89" s="118">
        <v>320</v>
      </c>
      <c r="V89" s="118">
        <v>0</v>
      </c>
      <c r="W89" s="118">
        <v>2</v>
      </c>
      <c r="X89" s="118">
        <v>1.17</v>
      </c>
      <c r="Y89" s="118">
        <v>0.62</v>
      </c>
      <c r="Z89" s="118">
        <v>4.4000000000000004</v>
      </c>
      <c r="AA89" s="118">
        <v>1.4</v>
      </c>
      <c r="AB89" s="118">
        <v>1.89</v>
      </c>
      <c r="AC89" s="118">
        <v>0.68</v>
      </c>
      <c r="AD89" s="118">
        <v>3620</v>
      </c>
      <c r="AE89" s="118">
        <v>510</v>
      </c>
      <c r="AF89" s="115">
        <v>7.8</v>
      </c>
      <c r="AG89" s="117">
        <v>4.5</v>
      </c>
      <c r="AH89" s="116">
        <v>28</v>
      </c>
      <c r="AI89" s="116">
        <v>13</v>
      </c>
      <c r="AJ89" s="115">
        <v>3.9</v>
      </c>
      <c r="AK89" s="115">
        <v>2.2000000000000002</v>
      </c>
      <c r="AL89" s="116">
        <v>25</v>
      </c>
      <c r="AM89" s="116">
        <v>12</v>
      </c>
      <c r="AN89" s="116">
        <v>14.9</v>
      </c>
      <c r="AO89" s="116">
        <v>3.9</v>
      </c>
      <c r="AP89" s="116">
        <v>2.54</v>
      </c>
      <c r="AQ89" s="116">
        <v>0.44</v>
      </c>
      <c r="AR89" s="116">
        <v>97</v>
      </c>
      <c r="AS89" s="113">
        <v>19</v>
      </c>
      <c r="AT89" s="116">
        <v>27.5</v>
      </c>
      <c r="AU89" s="116">
        <v>3.3</v>
      </c>
      <c r="AV89" s="119">
        <v>363</v>
      </c>
      <c r="AW89" s="118">
        <v>43</v>
      </c>
      <c r="AX89" s="118">
        <v>134</v>
      </c>
      <c r="AY89" s="118">
        <v>15</v>
      </c>
      <c r="AZ89" s="118">
        <v>609</v>
      </c>
      <c r="BA89" s="118">
        <v>67</v>
      </c>
      <c r="BB89" s="118">
        <v>110</v>
      </c>
      <c r="BC89" s="118">
        <v>12</v>
      </c>
      <c r="BD89" s="118">
        <v>931</v>
      </c>
      <c r="BE89" s="118">
        <v>93</v>
      </c>
      <c r="BF89" s="118">
        <v>174</v>
      </c>
      <c r="BG89" s="118">
        <v>18</v>
      </c>
      <c r="BI89" s="113">
        <v>2.7</v>
      </c>
      <c r="BJ89" s="118">
        <v>2.7</v>
      </c>
      <c r="BK89" s="118">
        <v>570000</v>
      </c>
      <c r="BL89" s="118">
        <v>95000</v>
      </c>
      <c r="BM89" s="118">
        <v>8600</v>
      </c>
      <c r="BN89" s="118">
        <v>1200</v>
      </c>
      <c r="BO89" s="119">
        <v>57.3</v>
      </c>
      <c r="BP89" s="118">
        <v>5.0999999999999996</v>
      </c>
      <c r="BQ89" s="119">
        <v>86.4</v>
      </c>
      <c r="BR89" s="118">
        <v>7.8</v>
      </c>
      <c r="BT89" s="115"/>
      <c r="BU89" s="116"/>
      <c r="BV89" s="116"/>
      <c r="BW89" s="116"/>
      <c r="BX89" s="119"/>
      <c r="BY89" s="116"/>
      <c r="BZ89" s="117"/>
      <c r="CA89" s="115"/>
      <c r="CB89" s="99"/>
      <c r="CC89" s="99"/>
      <c r="CD89" s="120"/>
      <c r="CE89" s="100"/>
      <c r="CF89" s="100"/>
      <c r="CG89" s="116"/>
      <c r="CH89" s="96"/>
      <c r="CJ89" s="115">
        <f>AF89/CJ$4</f>
        <v>32.911392405063289</v>
      </c>
      <c r="CK89" s="113">
        <f t="shared" si="111"/>
        <v>45.751633986928105</v>
      </c>
      <c r="CL89" s="113">
        <f t="shared" si="112"/>
        <v>41.05263157894737</v>
      </c>
      <c r="CM89" s="113">
        <f t="shared" si="113"/>
        <v>53.533190578158454</v>
      </c>
      <c r="CN89" s="113">
        <f t="shared" si="114"/>
        <v>97.385620915032689</v>
      </c>
      <c r="CO89" s="113">
        <f t="shared" si="115"/>
        <v>43.793103448275858</v>
      </c>
      <c r="CP89" s="113">
        <f t="shared" si="116"/>
        <v>472.01946472019466</v>
      </c>
      <c r="CQ89" s="113">
        <f t="shared" si="117"/>
        <v>735.29411764705878</v>
      </c>
      <c r="CR89" s="113">
        <f t="shared" si="118"/>
        <v>1429.1338582677165</v>
      </c>
      <c r="CS89" s="113">
        <f t="shared" si="119"/>
        <v>2367.4911660777384</v>
      </c>
      <c r="CT89" s="113">
        <f t="shared" si="120"/>
        <v>3679.7583081570997</v>
      </c>
      <c r="CU89" s="113">
        <f t="shared" si="121"/>
        <v>4313.7254901960787</v>
      </c>
      <c r="CV89" s="113">
        <f t="shared" si="122"/>
        <v>5476.4705882352937</v>
      </c>
      <c r="CW89" s="113">
        <f t="shared" si="123"/>
        <v>6850.3937007874019</v>
      </c>
    </row>
    <row r="90" spans="1:101" s="98" customFormat="1">
      <c r="A90" s="3" t="s">
        <v>324</v>
      </c>
      <c r="B90" s="92" t="s">
        <v>244</v>
      </c>
      <c r="C90" s="3"/>
      <c r="D90" s="93">
        <v>11.003</v>
      </c>
      <c r="E90" s="94">
        <v>0.18426999999999999</v>
      </c>
      <c r="F90" s="94">
        <v>9.3000000000000005E-4</v>
      </c>
      <c r="G90" s="95">
        <v>13.25</v>
      </c>
      <c r="H90" s="96">
        <v>0.4</v>
      </c>
      <c r="I90" s="97">
        <v>0.52470000000000006</v>
      </c>
      <c r="J90" s="95">
        <v>1.4999999999999999E-2</v>
      </c>
      <c r="K90" s="96">
        <v>0.87724999999999997</v>
      </c>
      <c r="M90" s="99">
        <v>2719</v>
      </c>
      <c r="N90" s="98">
        <v>62</v>
      </c>
      <c r="O90" s="99">
        <v>2691.9</v>
      </c>
      <c r="P90" s="98">
        <v>4.5999999999999996</v>
      </c>
      <c r="Q90" s="93">
        <v>-1.01</v>
      </c>
      <c r="R90" s="97">
        <v>8.7000000000000001E-4</v>
      </c>
      <c r="T90" s="98">
        <v>400</v>
      </c>
      <c r="U90" s="98">
        <v>130</v>
      </c>
      <c r="V90" s="98">
        <v>0.2</v>
      </c>
      <c r="W90" s="98">
        <v>1.3</v>
      </c>
      <c r="X90" s="98">
        <v>0.22</v>
      </c>
      <c r="Y90" s="98">
        <v>0.22</v>
      </c>
      <c r="Z90" s="98">
        <v>5.7</v>
      </c>
      <c r="AA90" s="98">
        <v>1.2</v>
      </c>
      <c r="AB90" s="98">
        <v>2.0499999999999998</v>
      </c>
      <c r="AC90" s="98">
        <v>0.72</v>
      </c>
      <c r="AD90" s="98">
        <v>3480</v>
      </c>
      <c r="AE90" s="98">
        <v>420</v>
      </c>
      <c r="AF90" s="95">
        <v>0.30599999999999999</v>
      </c>
      <c r="AG90" s="97">
        <v>7.3999999999999996E-2</v>
      </c>
      <c r="AH90" s="96">
        <v>9</v>
      </c>
      <c r="AI90" s="96">
        <v>1.4</v>
      </c>
      <c r="AJ90" s="95">
        <v>0.39</v>
      </c>
      <c r="AK90" s="95">
        <v>0.12</v>
      </c>
      <c r="AL90" s="96">
        <v>5.6</v>
      </c>
      <c r="AM90" s="96">
        <v>1.5</v>
      </c>
      <c r="AN90" s="96">
        <v>11.8</v>
      </c>
      <c r="AO90" s="96">
        <v>1.8</v>
      </c>
      <c r="AP90" s="96">
        <v>2.17</v>
      </c>
      <c r="AQ90" s="96">
        <v>0.5</v>
      </c>
      <c r="AR90" s="96">
        <v>83</v>
      </c>
      <c r="AS90" s="93">
        <v>13</v>
      </c>
      <c r="AT90" s="96">
        <v>25.4</v>
      </c>
      <c r="AU90" s="96">
        <v>2.9</v>
      </c>
      <c r="AV90" s="99">
        <v>314</v>
      </c>
      <c r="AW90" s="98">
        <v>30</v>
      </c>
      <c r="AX90" s="98">
        <v>116</v>
      </c>
      <c r="AY90" s="98">
        <v>13</v>
      </c>
      <c r="AZ90" s="98">
        <v>576</v>
      </c>
      <c r="BA90" s="98">
        <v>55</v>
      </c>
      <c r="BB90" s="98">
        <v>101</v>
      </c>
      <c r="BC90" s="98">
        <v>10</v>
      </c>
      <c r="BD90" s="98">
        <v>901</v>
      </c>
      <c r="BE90" s="98">
        <v>92</v>
      </c>
      <c r="BF90" s="98">
        <v>177</v>
      </c>
      <c r="BG90" s="98">
        <v>21</v>
      </c>
      <c r="BI90" s="93">
        <v>6.2</v>
      </c>
      <c r="BJ90" s="98">
        <v>3.5</v>
      </c>
      <c r="BK90" s="98">
        <v>540000</v>
      </c>
      <c r="BL90" s="98">
        <v>81000</v>
      </c>
      <c r="BM90" s="98">
        <v>8410</v>
      </c>
      <c r="BN90" s="98">
        <v>990</v>
      </c>
      <c r="BO90" s="99">
        <v>82.8</v>
      </c>
      <c r="BP90" s="98">
        <v>7.6</v>
      </c>
      <c r="BQ90" s="99">
        <v>105</v>
      </c>
      <c r="BR90" s="98">
        <v>10</v>
      </c>
      <c r="BT90" s="95">
        <f t="shared" si="102"/>
        <v>0.11653718091009989</v>
      </c>
      <c r="BU90" s="96">
        <f t="shared" si="103"/>
        <v>1.6071428571428572</v>
      </c>
      <c r="BV90" s="96">
        <f t="shared" si="104"/>
        <v>64.209274673008323</v>
      </c>
      <c r="BW90" s="96">
        <f t="shared" si="105"/>
        <v>0.78857142857142859</v>
      </c>
      <c r="BX90" s="99">
        <f>CK90/SQRT(CJ90*CL90)</f>
        <v>6.3875460802683346</v>
      </c>
      <c r="BY90" s="96">
        <f t="shared" si="106"/>
        <v>1.6071428571428572</v>
      </c>
      <c r="BZ90" s="97">
        <f t="shared" si="107"/>
        <v>4.618226600985222E-4</v>
      </c>
      <c r="CA90" s="95">
        <f t="shared" si="108"/>
        <v>0.21198411529655439</v>
      </c>
      <c r="CB90" s="99">
        <f t="shared" ref="CB90:CC152" si="124">BQ90*(EXP(0.0001551*2740)+0.0072*EXP(2740*0.0009849))</f>
        <v>171.83644990261666</v>
      </c>
      <c r="CC90" s="99">
        <f t="shared" si="124"/>
        <v>16.365376181201587</v>
      </c>
      <c r="CD90" s="100">
        <f t="shared" si="110"/>
        <v>728.17058040483846</v>
      </c>
      <c r="CE90" s="100">
        <f t="shared" ref="CE90:CE130" si="125">4800/(5.711-LOG(BI90)-LOG(1)+LOG(0.5))-273.15</f>
        <v>766.35592122629635</v>
      </c>
      <c r="CF90" s="100">
        <f t="shared" si="101"/>
        <v>57.128481184243917</v>
      </c>
      <c r="CG90" s="96">
        <f>2.28+3.99*LOG(AH90/((CB90*BI90)^(1/2)))</f>
        <v>4.7551185175336741E-2</v>
      </c>
      <c r="CH90" s="96">
        <f t="shared" si="52"/>
        <v>0.65274363030698757</v>
      </c>
      <c r="CJ90" s="95">
        <f>AF90/CJ$4</f>
        <v>1.2911392405063291</v>
      </c>
      <c r="CK90" s="93">
        <f t="shared" si="111"/>
        <v>14.705882352941178</v>
      </c>
      <c r="CL90" s="93">
        <f t="shared" si="112"/>
        <v>4.1052631578947372</v>
      </c>
      <c r="CM90" s="93">
        <f t="shared" si="113"/>
        <v>11.991434689507493</v>
      </c>
      <c r="CN90" s="93">
        <f t="shared" si="114"/>
        <v>77.124183006535958</v>
      </c>
      <c r="CO90" s="93">
        <f t="shared" si="115"/>
        <v>37.41379310344827</v>
      </c>
      <c r="CP90" s="93">
        <f t="shared" si="116"/>
        <v>403.89294403892944</v>
      </c>
      <c r="CQ90" s="93">
        <f t="shared" si="117"/>
        <v>679.14438502673784</v>
      </c>
      <c r="CR90" s="93">
        <f t="shared" si="118"/>
        <v>1236.2204724409448</v>
      </c>
      <c r="CS90" s="93">
        <f t="shared" si="119"/>
        <v>2049.4699646643112</v>
      </c>
      <c r="CT90" s="93">
        <f t="shared" si="120"/>
        <v>3480.3625377643502</v>
      </c>
      <c r="CU90" s="93">
        <f t="shared" si="121"/>
        <v>3960.7843137254904</v>
      </c>
      <c r="CV90" s="93">
        <f t="shared" si="122"/>
        <v>5300</v>
      </c>
      <c r="CW90" s="93">
        <f t="shared" si="123"/>
        <v>6968.5039370078739</v>
      </c>
    </row>
    <row r="91" spans="1:101" s="98" customFormat="1">
      <c r="A91" s="3" t="s">
        <v>325</v>
      </c>
      <c r="B91" s="92" t="s">
        <v>244</v>
      </c>
      <c r="C91" s="3"/>
      <c r="D91" s="93">
        <v>11.007999999999999</v>
      </c>
      <c r="E91" s="94">
        <v>0.18540000000000001</v>
      </c>
      <c r="F91" s="94">
        <v>1.6999999999999999E-3</v>
      </c>
      <c r="G91" s="95">
        <v>13.01</v>
      </c>
      <c r="H91" s="96">
        <v>0.4</v>
      </c>
      <c r="I91" s="97">
        <v>0.51219999999999999</v>
      </c>
      <c r="J91" s="95">
        <v>1.4E-2</v>
      </c>
      <c r="K91" s="96">
        <v>0.39533000000000001</v>
      </c>
      <c r="M91" s="99">
        <v>2666</v>
      </c>
      <c r="N91" s="98">
        <v>60</v>
      </c>
      <c r="O91" s="99">
        <v>2702.4</v>
      </c>
      <c r="P91" s="98">
        <v>9.5</v>
      </c>
      <c r="Q91" s="93">
        <v>1.33</v>
      </c>
      <c r="R91" s="97">
        <v>4.1000000000000003E-3</v>
      </c>
      <c r="T91" s="98">
        <v>90</v>
      </c>
      <c r="U91" s="98">
        <v>160</v>
      </c>
      <c r="V91" s="98">
        <v>1.6</v>
      </c>
      <c r="W91" s="98">
        <v>1.7</v>
      </c>
      <c r="X91" s="98">
        <v>3.7999999999999999E-2</v>
      </c>
      <c r="Y91" s="98">
        <v>8.2000000000000003E-2</v>
      </c>
      <c r="Z91" s="98">
        <v>3.21</v>
      </c>
      <c r="AA91" s="98">
        <v>0.78</v>
      </c>
      <c r="AB91" s="98">
        <v>1.01</v>
      </c>
      <c r="AC91" s="98">
        <v>0.35</v>
      </c>
      <c r="AD91" s="98">
        <v>1510</v>
      </c>
      <c r="AE91" s="98">
        <v>280</v>
      </c>
      <c r="AF91" s="95">
        <v>1.1000000000000001E-3</v>
      </c>
      <c r="AG91" s="97">
        <v>4.4999999999999997E-3</v>
      </c>
      <c r="AH91" s="96">
        <v>4.41</v>
      </c>
      <c r="AI91" s="96">
        <v>0.89</v>
      </c>
      <c r="AJ91" s="95">
        <v>4.4999999999999998E-2</v>
      </c>
      <c r="AK91" s="95">
        <v>3.1E-2</v>
      </c>
      <c r="AL91" s="96">
        <v>1.42</v>
      </c>
      <c r="AM91" s="96">
        <v>0.52</v>
      </c>
      <c r="AN91" s="96">
        <v>4.3</v>
      </c>
      <c r="AO91" s="96">
        <v>1.3</v>
      </c>
      <c r="AP91" s="96">
        <v>0.61</v>
      </c>
      <c r="AQ91" s="96">
        <v>0.31</v>
      </c>
      <c r="AR91" s="96">
        <v>25.3</v>
      </c>
      <c r="AS91" s="93">
        <v>4.4000000000000004</v>
      </c>
      <c r="AT91" s="96">
        <v>10.199999999999999</v>
      </c>
      <c r="AU91" s="96">
        <v>1.8</v>
      </c>
      <c r="AV91" s="99">
        <v>134</v>
      </c>
      <c r="AW91" s="98">
        <v>29</v>
      </c>
      <c r="AX91" s="98">
        <v>51.1</v>
      </c>
      <c r="AY91" s="98">
        <v>8.1</v>
      </c>
      <c r="AZ91" s="98">
        <v>245</v>
      </c>
      <c r="BA91" s="98">
        <v>39</v>
      </c>
      <c r="BB91" s="98">
        <v>47.9</v>
      </c>
      <c r="BC91" s="98">
        <v>7.1</v>
      </c>
      <c r="BD91" s="98">
        <v>436</v>
      </c>
      <c r="BE91" s="98">
        <v>66</v>
      </c>
      <c r="BF91" s="98">
        <v>83</v>
      </c>
      <c r="BG91" s="98">
        <v>12</v>
      </c>
      <c r="BI91" s="93">
        <v>4.0999999999999996</v>
      </c>
      <c r="BJ91" s="98">
        <v>2.9</v>
      </c>
      <c r="BK91" s="98">
        <v>521000</v>
      </c>
      <c r="BL91" s="98">
        <v>80000</v>
      </c>
      <c r="BM91" s="98">
        <v>9100</v>
      </c>
      <c r="BN91" s="98">
        <v>1400</v>
      </c>
      <c r="BO91" s="99">
        <v>20.9</v>
      </c>
      <c r="BP91" s="98">
        <v>3</v>
      </c>
      <c r="BQ91" s="99">
        <v>42.4</v>
      </c>
      <c r="BR91" s="98">
        <v>5.3</v>
      </c>
      <c r="BT91" s="95">
        <f t="shared" si="102"/>
        <v>9.724770642201834E-2</v>
      </c>
      <c r="BU91" s="96">
        <f t="shared" si="103"/>
        <v>3.1056338028169015</v>
      </c>
      <c r="BV91" s="96">
        <f t="shared" si="104"/>
        <v>57.252747252747255</v>
      </c>
      <c r="BW91" s="96">
        <f t="shared" si="105"/>
        <v>0.49292452830188677</v>
      </c>
      <c r="BX91" s="99">
        <f>CK91/SQRT(CJ91*CL91)</f>
        <v>153.68112940596623</v>
      </c>
      <c r="BY91" s="96">
        <f t="shared" si="106"/>
        <v>3.1056338028169015</v>
      </c>
      <c r="BZ91" s="97">
        <f t="shared" si="107"/>
        <v>2.0567111276933122E-3</v>
      </c>
      <c r="CA91" s="95">
        <f t="shared" si="108"/>
        <v>0.17879648703100595</v>
      </c>
      <c r="CB91" s="99">
        <f t="shared" si="124"/>
        <v>69.389195008294735</v>
      </c>
      <c r="CC91" s="99">
        <f t="shared" si="124"/>
        <v>8.6736493760368418</v>
      </c>
      <c r="CD91" s="100">
        <f t="shared" si="110"/>
        <v>692.00830658480822</v>
      </c>
      <c r="CE91" s="100">
        <f t="shared" si="125"/>
        <v>727.43656310118683</v>
      </c>
      <c r="CF91" s="100">
        <f t="shared" si="101"/>
        <v>66.188473713738148</v>
      </c>
      <c r="CG91" s="96">
        <f>2.28+3.99*LOG(AH91/((CB91*BI91)^(1/2)))</f>
        <v>-4.4571061375724419E-2</v>
      </c>
      <c r="CH91" s="96">
        <f t="shared" si="52"/>
        <v>0.83464215223653748</v>
      </c>
      <c r="CJ91" s="95">
        <f>AF91/CJ$4</f>
        <v>4.6413502109704649E-3</v>
      </c>
      <c r="CK91" s="93">
        <f t="shared" si="111"/>
        <v>7.2058823529411766</v>
      </c>
      <c r="CL91" s="93">
        <f t="shared" si="112"/>
        <v>0.47368421052631576</v>
      </c>
      <c r="CM91" s="93">
        <f t="shared" si="113"/>
        <v>3.0406852248394003</v>
      </c>
      <c r="CN91" s="93">
        <f t="shared" si="114"/>
        <v>28.104575163398692</v>
      </c>
      <c r="CO91" s="93">
        <f t="shared" si="115"/>
        <v>10.517241379310343</v>
      </c>
      <c r="CP91" s="93">
        <f t="shared" si="116"/>
        <v>123.11435523114356</v>
      </c>
      <c r="CQ91" s="93">
        <f t="shared" si="117"/>
        <v>272.72727272727269</v>
      </c>
      <c r="CR91" s="93">
        <f t="shared" si="118"/>
        <v>527.55905511811022</v>
      </c>
      <c r="CS91" s="93">
        <f t="shared" si="119"/>
        <v>902.82685512367493</v>
      </c>
      <c r="CT91" s="93">
        <f t="shared" si="120"/>
        <v>1480.3625377643505</v>
      </c>
      <c r="CU91" s="93">
        <f t="shared" si="121"/>
        <v>1878.4313725490197</v>
      </c>
      <c r="CV91" s="93">
        <f t="shared" si="122"/>
        <v>2564.705882352941</v>
      </c>
      <c r="CW91" s="93">
        <f t="shared" si="123"/>
        <v>3267.7165354330709</v>
      </c>
    </row>
    <row r="92" spans="1:101" s="98" customFormat="1">
      <c r="A92" s="3" t="s">
        <v>326</v>
      </c>
      <c r="B92" s="92" t="s">
        <v>244</v>
      </c>
      <c r="C92" s="3"/>
      <c r="D92" s="93">
        <v>11.026999999999999</v>
      </c>
      <c r="E92" s="94">
        <v>0.18540000000000001</v>
      </c>
      <c r="F92" s="94">
        <v>1.1000000000000001E-3</v>
      </c>
      <c r="G92" s="95">
        <v>13.11</v>
      </c>
      <c r="H92" s="96">
        <v>0.4</v>
      </c>
      <c r="I92" s="97">
        <v>0.51600000000000001</v>
      </c>
      <c r="J92" s="95">
        <v>1.4E-2</v>
      </c>
      <c r="K92" s="96">
        <v>0.81335000000000002</v>
      </c>
      <c r="M92" s="99">
        <v>2682</v>
      </c>
      <c r="N92" s="98">
        <v>61</v>
      </c>
      <c r="O92" s="99">
        <v>2701.8</v>
      </c>
      <c r="P92" s="98">
        <v>5</v>
      </c>
      <c r="Q92" s="93">
        <v>0.73</v>
      </c>
      <c r="R92" s="97">
        <v>3.2000000000000002E-3</v>
      </c>
      <c r="T92" s="98">
        <v>420</v>
      </c>
      <c r="U92" s="98">
        <v>120</v>
      </c>
      <c r="V92" s="98">
        <v>0.2</v>
      </c>
      <c r="W92" s="98">
        <v>1.5</v>
      </c>
      <c r="X92" s="98">
        <v>0.41</v>
      </c>
      <c r="Y92" s="98">
        <v>0.3</v>
      </c>
      <c r="Z92" s="98">
        <v>6.3</v>
      </c>
      <c r="AA92" s="98">
        <v>1.4</v>
      </c>
      <c r="AB92" s="98">
        <v>1.46</v>
      </c>
      <c r="AC92" s="98">
        <v>0.43</v>
      </c>
      <c r="AD92" s="98">
        <v>1820</v>
      </c>
      <c r="AE92" s="98">
        <v>200</v>
      </c>
      <c r="AF92" s="95" t="s">
        <v>250</v>
      </c>
      <c r="AG92" s="97" t="s">
        <v>250</v>
      </c>
      <c r="AH92" s="96">
        <v>8.6999999999999993</v>
      </c>
      <c r="AI92" s="96">
        <v>1.4</v>
      </c>
      <c r="AJ92" s="95">
        <v>2.7E-2</v>
      </c>
      <c r="AK92" s="95">
        <v>0.02</v>
      </c>
      <c r="AL92" s="96">
        <v>1.6</v>
      </c>
      <c r="AM92" s="96">
        <v>0.68</v>
      </c>
      <c r="AN92" s="96">
        <v>4.0999999999999996</v>
      </c>
      <c r="AO92" s="96">
        <v>1.5</v>
      </c>
      <c r="AP92" s="96">
        <v>0.92</v>
      </c>
      <c r="AQ92" s="96">
        <v>0.36</v>
      </c>
      <c r="AR92" s="96">
        <v>37</v>
      </c>
      <c r="AS92" s="93">
        <v>6.6</v>
      </c>
      <c r="AT92" s="96">
        <v>11.5</v>
      </c>
      <c r="AU92" s="96">
        <v>1</v>
      </c>
      <c r="AV92" s="99">
        <v>158</v>
      </c>
      <c r="AW92" s="98">
        <v>14</v>
      </c>
      <c r="AX92" s="98">
        <v>61.3</v>
      </c>
      <c r="AY92" s="98">
        <v>7.3</v>
      </c>
      <c r="AZ92" s="98">
        <v>302</v>
      </c>
      <c r="BA92" s="98">
        <v>29</v>
      </c>
      <c r="BB92" s="98">
        <v>62.5</v>
      </c>
      <c r="BC92" s="98">
        <v>8.1999999999999993</v>
      </c>
      <c r="BD92" s="98">
        <v>498</v>
      </c>
      <c r="BE92" s="98">
        <v>54</v>
      </c>
      <c r="BF92" s="98">
        <v>96</v>
      </c>
      <c r="BG92" s="98">
        <v>12</v>
      </c>
      <c r="BI92" s="93">
        <v>4.3</v>
      </c>
      <c r="BJ92" s="98">
        <v>3.5</v>
      </c>
      <c r="BK92" s="98">
        <v>552000</v>
      </c>
      <c r="BL92" s="98">
        <v>58000</v>
      </c>
      <c r="BM92" s="98">
        <v>9700</v>
      </c>
      <c r="BN92" s="98">
        <v>1200</v>
      </c>
      <c r="BO92" s="99">
        <v>62.4</v>
      </c>
      <c r="BP92" s="98">
        <v>6.2</v>
      </c>
      <c r="BQ92" s="99">
        <v>81.2</v>
      </c>
      <c r="BR92" s="98">
        <v>7.5</v>
      </c>
      <c r="BT92" s="95">
        <f t="shared" si="102"/>
        <v>0.16305220883534138</v>
      </c>
      <c r="BU92" s="96">
        <f t="shared" si="103"/>
        <v>5.4374999999999991</v>
      </c>
      <c r="BV92" s="96">
        <f t="shared" si="104"/>
        <v>56.907216494845358</v>
      </c>
      <c r="BW92" s="96">
        <f t="shared" si="105"/>
        <v>0.76847290640394084</v>
      </c>
      <c r="BX92" s="99"/>
      <c r="BY92" s="96">
        <f t="shared" si="106"/>
        <v>5.4374999999999991</v>
      </c>
      <c r="BZ92" s="97">
        <f t="shared" si="107"/>
        <v>2.987637362637362E-3</v>
      </c>
      <c r="CA92" s="95">
        <f t="shared" si="108"/>
        <v>0.22835928361016514</v>
      </c>
      <c r="CB92" s="99">
        <f t="shared" si="124"/>
        <v>132.88685459135689</v>
      </c>
      <c r="CC92" s="99">
        <f t="shared" si="124"/>
        <v>12.274032135901191</v>
      </c>
      <c r="CD92" s="100">
        <f t="shared" si="110"/>
        <v>696.03930876541733</v>
      </c>
      <c r="CE92" s="100">
        <f t="shared" si="125"/>
        <v>731.7695946036456</v>
      </c>
      <c r="CF92" s="100">
        <f t="shared" si="101"/>
        <v>76.537274037761193</v>
      </c>
      <c r="CG92" s="96">
        <f>2.28+3.99*LOG(AH92/((CB92*BI92)^(1/2)))</f>
        <v>0.52856561543684166</v>
      </c>
      <c r="CH92" s="96">
        <f t="shared" si="52"/>
        <v>0.88745259586247904</v>
      </c>
      <c r="CJ92" s="95"/>
      <c r="CK92" s="93">
        <f t="shared" si="111"/>
        <v>14.215686274509803</v>
      </c>
      <c r="CL92" s="93">
        <f t="shared" si="112"/>
        <v>0.28421052631578947</v>
      </c>
      <c r="CM92" s="93">
        <f t="shared" si="113"/>
        <v>3.4261241970021414</v>
      </c>
      <c r="CN92" s="93">
        <f t="shared" si="114"/>
        <v>26.79738562091503</v>
      </c>
      <c r="CO92" s="93">
        <f t="shared" si="115"/>
        <v>15.862068965517242</v>
      </c>
      <c r="CP92" s="93">
        <f t="shared" si="116"/>
        <v>180.04866180048663</v>
      </c>
      <c r="CQ92" s="93">
        <f t="shared" si="117"/>
        <v>307.48663101604274</v>
      </c>
      <c r="CR92" s="93">
        <f t="shared" si="118"/>
        <v>622.04724409448818</v>
      </c>
      <c r="CS92" s="93">
        <f t="shared" si="119"/>
        <v>1083.0388692579506</v>
      </c>
      <c r="CT92" s="93">
        <f t="shared" si="120"/>
        <v>1824.773413897281</v>
      </c>
      <c r="CU92" s="93">
        <f t="shared" si="121"/>
        <v>2450.9803921568628</v>
      </c>
      <c r="CV92" s="93">
        <f t="shared" si="122"/>
        <v>2929.411764705882</v>
      </c>
      <c r="CW92" s="93">
        <f t="shared" si="123"/>
        <v>3779.5275590551182</v>
      </c>
    </row>
    <row r="93" spans="1:101" s="98" customFormat="1">
      <c r="A93" s="3" t="s">
        <v>327</v>
      </c>
      <c r="B93" s="92" t="s">
        <v>244</v>
      </c>
      <c r="C93" s="3"/>
      <c r="D93" s="93">
        <v>11.047000000000001</v>
      </c>
      <c r="E93" s="94">
        <v>0.1852</v>
      </c>
      <c r="F93" s="94">
        <v>1.8E-3</v>
      </c>
      <c r="G93" s="95">
        <v>13.09</v>
      </c>
      <c r="H93" s="96">
        <v>0.41</v>
      </c>
      <c r="I93" s="97">
        <v>0.51580000000000004</v>
      </c>
      <c r="J93" s="95">
        <v>1.4E-2</v>
      </c>
      <c r="K93" s="96">
        <v>0.54266000000000003</v>
      </c>
      <c r="M93" s="99">
        <v>2681</v>
      </c>
      <c r="N93" s="98">
        <v>60</v>
      </c>
      <c r="O93" s="99">
        <v>2701.2</v>
      </c>
      <c r="P93" s="98">
        <v>9</v>
      </c>
      <c r="Q93" s="93">
        <v>0.82</v>
      </c>
      <c r="R93" s="97">
        <v>3.3999999999999998E-3</v>
      </c>
      <c r="T93" s="98">
        <v>320</v>
      </c>
      <c r="U93" s="98">
        <v>180</v>
      </c>
      <c r="V93" s="98">
        <v>1.4</v>
      </c>
      <c r="W93" s="98">
        <v>1.6</v>
      </c>
      <c r="X93" s="98">
        <v>0.13</v>
      </c>
      <c r="Y93" s="98">
        <v>0.19</v>
      </c>
      <c r="Z93" s="98">
        <v>5.7</v>
      </c>
      <c r="AA93" s="98">
        <v>1.2</v>
      </c>
      <c r="AB93" s="98">
        <v>1.33</v>
      </c>
      <c r="AC93" s="98">
        <v>0.46</v>
      </c>
      <c r="AD93" s="98">
        <v>1510</v>
      </c>
      <c r="AE93" s="98">
        <v>150</v>
      </c>
      <c r="AF93" s="95">
        <v>7.7000000000000002E-3</v>
      </c>
      <c r="AG93" s="97">
        <v>9.9000000000000008E-3</v>
      </c>
      <c r="AH93" s="96">
        <v>7.1</v>
      </c>
      <c r="AI93" s="96">
        <v>1.5</v>
      </c>
      <c r="AJ93" s="95">
        <v>1.7000000000000001E-2</v>
      </c>
      <c r="AK93" s="95">
        <v>1.7000000000000001E-2</v>
      </c>
      <c r="AL93" s="96">
        <v>0.43</v>
      </c>
      <c r="AM93" s="96">
        <v>0.32</v>
      </c>
      <c r="AN93" s="96">
        <v>3.4</v>
      </c>
      <c r="AO93" s="96">
        <v>1</v>
      </c>
      <c r="AP93" s="96">
        <v>0.55000000000000004</v>
      </c>
      <c r="AQ93" s="96">
        <v>0.27</v>
      </c>
      <c r="AR93" s="96">
        <v>24.8</v>
      </c>
      <c r="AS93" s="93">
        <v>4.7</v>
      </c>
      <c r="AT93" s="96">
        <v>8.6999999999999993</v>
      </c>
      <c r="AU93" s="96">
        <v>1.2</v>
      </c>
      <c r="AV93" s="99">
        <v>123</v>
      </c>
      <c r="AW93" s="98">
        <v>14</v>
      </c>
      <c r="AX93" s="98">
        <v>51.6</v>
      </c>
      <c r="AY93" s="98">
        <v>6.2</v>
      </c>
      <c r="AZ93" s="98">
        <v>256</v>
      </c>
      <c r="BA93" s="98">
        <v>29</v>
      </c>
      <c r="BB93" s="98">
        <v>47.9</v>
      </c>
      <c r="BC93" s="98">
        <v>5.0999999999999996</v>
      </c>
      <c r="BD93" s="98">
        <v>429</v>
      </c>
      <c r="BE93" s="98">
        <v>50</v>
      </c>
      <c r="BF93" s="98">
        <v>82</v>
      </c>
      <c r="BG93" s="98">
        <v>11</v>
      </c>
      <c r="BI93" s="93">
        <v>4.5999999999999996</v>
      </c>
      <c r="BJ93" s="98">
        <v>3</v>
      </c>
      <c r="BK93" s="98">
        <v>561000</v>
      </c>
      <c r="BL93" s="98">
        <v>65000</v>
      </c>
      <c r="BM93" s="98">
        <v>8410</v>
      </c>
      <c r="BN93" s="98">
        <v>680</v>
      </c>
      <c r="BO93" s="99">
        <v>24.8</v>
      </c>
      <c r="BP93" s="98">
        <v>1.9</v>
      </c>
      <c r="BQ93" s="99">
        <v>48.4</v>
      </c>
      <c r="BR93" s="98">
        <v>3.7</v>
      </c>
      <c r="BT93" s="95">
        <f t="shared" si="102"/>
        <v>0.11282051282051282</v>
      </c>
      <c r="BU93" s="96">
        <f t="shared" si="103"/>
        <v>16.511627906976745</v>
      </c>
      <c r="BV93" s="96">
        <f t="shared" si="104"/>
        <v>66.70630202140309</v>
      </c>
      <c r="BW93" s="96">
        <f t="shared" si="105"/>
        <v>0.5123966942148761</v>
      </c>
      <c r="BX93" s="99">
        <f>CK93/SQRT(CJ93*CL93)</f>
        <v>152.15039316889002</v>
      </c>
      <c r="BY93" s="96">
        <f t="shared" si="106"/>
        <v>16.511627906976745</v>
      </c>
      <c r="BZ93" s="97">
        <f t="shared" si="107"/>
        <v>1.0934852918527646E-2</v>
      </c>
      <c r="CA93" s="95">
        <f t="shared" si="108"/>
        <v>0.18311377902551154</v>
      </c>
      <c r="CB93" s="99">
        <f t="shared" si="124"/>
        <v>79.208420717015684</v>
      </c>
      <c r="CC93" s="99">
        <f t="shared" si="124"/>
        <v>6.0551891870445873</v>
      </c>
      <c r="CD93" s="100">
        <f t="shared" si="110"/>
        <v>701.80514273689687</v>
      </c>
      <c r="CE93" s="100">
        <f t="shared" si="125"/>
        <v>737.96975311523488</v>
      </c>
      <c r="CF93" s="100">
        <f t="shared" si="101"/>
        <v>62.375281377566139</v>
      </c>
      <c r="CG93" s="96">
        <f>2.28+3.99*LOG(AH93/((CB93*BI93)^(1/2)))</f>
        <v>0.56627008540974089</v>
      </c>
      <c r="CH93" s="96">
        <f t="shared" si="52"/>
        <v>0.78494422232792149</v>
      </c>
      <c r="CJ93" s="95">
        <f>AF93/CJ$4</f>
        <v>3.2489451476793253E-2</v>
      </c>
      <c r="CK93" s="93">
        <f t="shared" si="111"/>
        <v>11.601307189542483</v>
      </c>
      <c r="CL93" s="93">
        <f t="shared" si="112"/>
        <v>0.17894736842105263</v>
      </c>
      <c r="CM93" s="93">
        <f t="shared" si="113"/>
        <v>0.92077087794432544</v>
      </c>
      <c r="CN93" s="93">
        <f t="shared" si="114"/>
        <v>22.222222222222221</v>
      </c>
      <c r="CO93" s="93">
        <f t="shared" si="115"/>
        <v>9.4827586206896548</v>
      </c>
      <c r="CP93" s="93">
        <f t="shared" si="116"/>
        <v>120.68126520681267</v>
      </c>
      <c r="CQ93" s="93">
        <f t="shared" si="117"/>
        <v>232.62032085561495</v>
      </c>
      <c r="CR93" s="93">
        <f t="shared" si="118"/>
        <v>484.25196850393701</v>
      </c>
      <c r="CS93" s="93">
        <f t="shared" si="119"/>
        <v>911.66077738515912</v>
      </c>
      <c r="CT93" s="93">
        <f t="shared" si="120"/>
        <v>1546.8277945619334</v>
      </c>
      <c r="CU93" s="93">
        <f t="shared" si="121"/>
        <v>1878.4313725490197</v>
      </c>
      <c r="CV93" s="93">
        <f t="shared" si="122"/>
        <v>2523.5294117647059</v>
      </c>
      <c r="CW93" s="93">
        <f t="shared" si="123"/>
        <v>3228.3464566929133</v>
      </c>
    </row>
    <row r="94" spans="1:101" s="98" customFormat="1">
      <c r="A94" s="3" t="s">
        <v>328</v>
      </c>
      <c r="B94" s="92" t="s">
        <v>244</v>
      </c>
      <c r="C94" s="3"/>
      <c r="D94" s="93">
        <v>11.013999999999999</v>
      </c>
      <c r="E94" s="94">
        <v>0.18259</v>
      </c>
      <c r="F94" s="94">
        <v>9.2000000000000003E-4</v>
      </c>
      <c r="G94" s="95">
        <v>12.17</v>
      </c>
      <c r="H94" s="96">
        <v>0.39</v>
      </c>
      <c r="I94" s="97">
        <v>0.48849999999999999</v>
      </c>
      <c r="J94" s="95">
        <v>1.4E-2</v>
      </c>
      <c r="K94" s="96">
        <v>0.94930999999999999</v>
      </c>
      <c r="M94" s="99">
        <v>2564</v>
      </c>
      <c r="N94" s="98">
        <v>63</v>
      </c>
      <c r="O94" s="99">
        <v>2676.5</v>
      </c>
      <c r="P94" s="98">
        <v>5.6</v>
      </c>
      <c r="Q94" s="93">
        <v>4.22</v>
      </c>
      <c r="R94" s="97">
        <v>1.1599999999999999E-2</v>
      </c>
      <c r="T94" s="98">
        <v>550</v>
      </c>
      <c r="U94" s="98">
        <v>130</v>
      </c>
      <c r="V94" s="98" t="s">
        <v>250</v>
      </c>
      <c r="W94" s="98" t="s">
        <v>250</v>
      </c>
      <c r="X94" s="98">
        <v>1.1200000000000001</v>
      </c>
      <c r="Y94" s="98">
        <v>0.47</v>
      </c>
      <c r="Z94" s="98">
        <v>7.3</v>
      </c>
      <c r="AA94" s="98">
        <v>1.6</v>
      </c>
      <c r="AB94" s="98">
        <v>1.4</v>
      </c>
      <c r="AC94" s="98">
        <v>0.54</v>
      </c>
      <c r="AD94" s="98">
        <v>4260</v>
      </c>
      <c r="AE94" s="98">
        <v>410</v>
      </c>
      <c r="AF94" s="95">
        <v>0.02</v>
      </c>
      <c r="AG94" s="97">
        <v>1.7000000000000001E-2</v>
      </c>
      <c r="AH94" s="96">
        <v>9.1999999999999993</v>
      </c>
      <c r="AI94" s="96">
        <v>1.9</v>
      </c>
      <c r="AJ94" s="95">
        <v>0.29799999999999999</v>
      </c>
      <c r="AK94" s="95">
        <v>9.5000000000000001E-2</v>
      </c>
      <c r="AL94" s="96">
        <v>6.3</v>
      </c>
      <c r="AM94" s="96">
        <v>1.4</v>
      </c>
      <c r="AN94" s="96">
        <v>10.8</v>
      </c>
      <c r="AO94" s="96">
        <v>1.9</v>
      </c>
      <c r="AP94" s="96">
        <v>2.58</v>
      </c>
      <c r="AQ94" s="96">
        <v>0.59</v>
      </c>
      <c r="AR94" s="96">
        <v>95</v>
      </c>
      <c r="AS94" s="93">
        <v>13</v>
      </c>
      <c r="AT94" s="96">
        <v>30.6</v>
      </c>
      <c r="AU94" s="96">
        <v>3.3</v>
      </c>
      <c r="AV94" s="99">
        <v>398</v>
      </c>
      <c r="AW94" s="98">
        <v>41</v>
      </c>
      <c r="AX94" s="98">
        <v>145</v>
      </c>
      <c r="AY94" s="98">
        <v>15</v>
      </c>
      <c r="AZ94" s="98">
        <v>724</v>
      </c>
      <c r="BA94" s="98">
        <v>51</v>
      </c>
      <c r="BB94" s="98">
        <v>126.9</v>
      </c>
      <c r="BC94" s="98">
        <v>9.4</v>
      </c>
      <c r="BD94" s="98">
        <v>1120</v>
      </c>
      <c r="BE94" s="98">
        <v>96</v>
      </c>
      <c r="BF94" s="98">
        <v>218</v>
      </c>
      <c r="BG94" s="98">
        <v>20</v>
      </c>
      <c r="BI94" s="93">
        <v>6.6</v>
      </c>
      <c r="BJ94" s="98">
        <v>3.8</v>
      </c>
      <c r="BK94" s="98">
        <v>539000</v>
      </c>
      <c r="BL94" s="98">
        <v>53000</v>
      </c>
      <c r="BM94" s="98">
        <v>8970</v>
      </c>
      <c r="BN94" s="98">
        <v>950</v>
      </c>
      <c r="BO94" s="99">
        <v>77.5</v>
      </c>
      <c r="BP94" s="98">
        <v>5.9</v>
      </c>
      <c r="BQ94" s="99">
        <v>121.4</v>
      </c>
      <c r="BR94" s="98">
        <v>9.5</v>
      </c>
      <c r="BT94" s="95">
        <f t="shared" si="102"/>
        <v>0.10839285714285715</v>
      </c>
      <c r="BU94" s="96">
        <f t="shared" si="103"/>
        <v>1.4603174603174602</v>
      </c>
      <c r="BV94" s="96">
        <f t="shared" si="104"/>
        <v>60.089186176142697</v>
      </c>
      <c r="BW94" s="96">
        <f t="shared" si="105"/>
        <v>0.63838550247116965</v>
      </c>
      <c r="BX94" s="99">
        <f>CK94/SQRT(CJ94*CL94)</f>
        <v>29.217916996239193</v>
      </c>
      <c r="BY94" s="96">
        <f t="shared" si="106"/>
        <v>1.4603174603174602</v>
      </c>
      <c r="BZ94" s="97">
        <f t="shared" si="107"/>
        <v>3.4279752589611744E-4</v>
      </c>
      <c r="CA94" s="95">
        <f t="shared" si="108"/>
        <v>0.24624626986182929</v>
      </c>
      <c r="CB94" s="99">
        <f t="shared" si="124"/>
        <v>198.67566683978728</v>
      </c>
      <c r="CC94" s="99">
        <f t="shared" si="124"/>
        <v>15.547107372141507</v>
      </c>
      <c r="CD94" s="100">
        <f t="shared" si="110"/>
        <v>733.87455689283559</v>
      </c>
      <c r="CE94" s="100">
        <f t="shared" si="125"/>
        <v>772.50457063572787</v>
      </c>
      <c r="CF94" s="100">
        <f t="shared" si="101"/>
        <v>58.862960647890837</v>
      </c>
      <c r="CG94" s="96">
        <f>2.28+3.99*LOG(AH94/((CB94*BI94)^(1/2)))</f>
        <v>-9.4275355636070035E-2</v>
      </c>
      <c r="CH94" s="96">
        <f t="shared" si="52"/>
        <v>0.70474689849405714</v>
      </c>
      <c r="CJ94" s="95">
        <f>AF94/CJ$4</f>
        <v>8.4388185654008449E-2</v>
      </c>
      <c r="CK94" s="93">
        <f t="shared" si="111"/>
        <v>15.032679738562091</v>
      </c>
      <c r="CL94" s="93">
        <f t="shared" si="112"/>
        <v>3.1368421052631579</v>
      </c>
      <c r="CM94" s="93">
        <f t="shared" si="113"/>
        <v>13.49036402569593</v>
      </c>
      <c r="CN94" s="93">
        <f t="shared" si="114"/>
        <v>70.588235294117652</v>
      </c>
      <c r="CO94" s="93">
        <f t="shared" si="115"/>
        <v>44.482758620689651</v>
      </c>
      <c r="CP94" s="93">
        <f t="shared" si="116"/>
        <v>462.28710462287108</v>
      </c>
      <c r="CQ94" s="93">
        <f t="shared" si="117"/>
        <v>818.18181818181813</v>
      </c>
      <c r="CR94" s="93">
        <f t="shared" si="118"/>
        <v>1566.9291338582677</v>
      </c>
      <c r="CS94" s="93">
        <f t="shared" si="119"/>
        <v>2561.837455830389</v>
      </c>
      <c r="CT94" s="93">
        <f t="shared" si="120"/>
        <v>4374.622356495468</v>
      </c>
      <c r="CU94" s="93">
        <f t="shared" si="121"/>
        <v>4976.4705882352946</v>
      </c>
      <c r="CV94" s="93">
        <f t="shared" si="122"/>
        <v>6588.2352941176468</v>
      </c>
      <c r="CW94" s="93">
        <f t="shared" si="123"/>
        <v>8582.677165354331</v>
      </c>
    </row>
    <row r="95" spans="1:101" s="118" customFormat="1">
      <c r="A95" s="111" t="s">
        <v>329</v>
      </c>
      <c r="B95" s="112" t="s">
        <v>244</v>
      </c>
      <c r="C95" s="111"/>
      <c r="D95" s="113">
        <v>11.045999999999999</v>
      </c>
      <c r="E95" s="114">
        <v>0.18490000000000001</v>
      </c>
      <c r="F95" s="114">
        <v>1.1999999999999999E-3</v>
      </c>
      <c r="G95" s="115">
        <v>13.058</v>
      </c>
      <c r="H95" s="116">
        <v>0.39</v>
      </c>
      <c r="I95" s="117">
        <v>0.51559999999999995</v>
      </c>
      <c r="J95" s="115">
        <v>1.4E-2</v>
      </c>
      <c r="K95" s="116">
        <v>0.48696</v>
      </c>
      <c r="M95" s="119">
        <v>2680</v>
      </c>
      <c r="N95" s="118">
        <v>60</v>
      </c>
      <c r="O95" s="119">
        <v>2697.7</v>
      </c>
      <c r="P95" s="118">
        <v>6</v>
      </c>
      <c r="Q95" s="113">
        <v>0.63</v>
      </c>
      <c r="R95" s="117">
        <v>2.7000000000000001E-3</v>
      </c>
      <c r="T95" s="118">
        <v>520</v>
      </c>
      <c r="U95" s="118">
        <v>180</v>
      </c>
      <c r="V95" s="118">
        <v>1.1000000000000001</v>
      </c>
      <c r="W95" s="118">
        <v>1.9</v>
      </c>
      <c r="X95" s="118">
        <v>0.65</v>
      </c>
      <c r="Y95" s="118">
        <v>0.57999999999999996</v>
      </c>
      <c r="Z95" s="118">
        <v>5.4</v>
      </c>
      <c r="AA95" s="118">
        <v>1.2</v>
      </c>
      <c r="AB95" s="118">
        <v>1.04</v>
      </c>
      <c r="AC95" s="118">
        <v>0.52</v>
      </c>
      <c r="AD95" s="118">
        <v>1580</v>
      </c>
      <c r="AE95" s="118">
        <v>180</v>
      </c>
      <c r="AF95" s="115">
        <v>1.36</v>
      </c>
      <c r="AG95" s="117">
        <v>0.52</v>
      </c>
      <c r="AH95" s="116">
        <v>12.6</v>
      </c>
      <c r="AI95" s="116">
        <v>2.8</v>
      </c>
      <c r="AJ95" s="115">
        <v>0.69</v>
      </c>
      <c r="AK95" s="115">
        <v>0.27</v>
      </c>
      <c r="AL95" s="116">
        <v>4.0999999999999996</v>
      </c>
      <c r="AM95" s="116">
        <v>1.4</v>
      </c>
      <c r="AN95" s="116">
        <v>4.3</v>
      </c>
      <c r="AO95" s="116">
        <v>1.4</v>
      </c>
      <c r="AP95" s="116">
        <v>1.04</v>
      </c>
      <c r="AQ95" s="116">
        <v>0.24</v>
      </c>
      <c r="AR95" s="116">
        <v>29.7</v>
      </c>
      <c r="AS95" s="113">
        <v>5.4</v>
      </c>
      <c r="AT95" s="116">
        <v>10.01</v>
      </c>
      <c r="AU95" s="116">
        <v>0.94</v>
      </c>
      <c r="AV95" s="119">
        <v>140</v>
      </c>
      <c r="AW95" s="118">
        <v>12</v>
      </c>
      <c r="AX95" s="118">
        <v>51.6</v>
      </c>
      <c r="AY95" s="118">
        <v>4.5</v>
      </c>
      <c r="AZ95" s="118">
        <v>256</v>
      </c>
      <c r="BA95" s="118">
        <v>19</v>
      </c>
      <c r="BB95" s="118">
        <v>51.4</v>
      </c>
      <c r="BC95" s="118">
        <v>5.5</v>
      </c>
      <c r="BD95" s="118">
        <v>438</v>
      </c>
      <c r="BE95" s="118">
        <v>53</v>
      </c>
      <c r="BF95" s="118">
        <v>85.3</v>
      </c>
      <c r="BG95" s="118">
        <v>9.8000000000000007</v>
      </c>
      <c r="BI95" s="113">
        <v>4.3</v>
      </c>
      <c r="BJ95" s="118">
        <v>2.5</v>
      </c>
      <c r="BK95" s="118">
        <v>572000</v>
      </c>
      <c r="BL95" s="118">
        <v>58000</v>
      </c>
      <c r="BM95" s="118">
        <v>9130</v>
      </c>
      <c r="BN95" s="118">
        <v>790</v>
      </c>
      <c r="BO95" s="119">
        <v>32</v>
      </c>
      <c r="BP95" s="118">
        <v>2.6</v>
      </c>
      <c r="BQ95" s="119">
        <v>57.4</v>
      </c>
      <c r="BR95" s="118">
        <v>4.5</v>
      </c>
      <c r="BT95" s="115"/>
      <c r="BU95" s="116"/>
      <c r="BV95" s="116"/>
      <c r="BW95" s="116"/>
      <c r="BX95" s="119"/>
      <c r="BY95" s="116"/>
      <c r="BZ95" s="117"/>
      <c r="CA95" s="115"/>
      <c r="CB95" s="99"/>
      <c r="CC95" s="99"/>
      <c r="CD95" s="120"/>
      <c r="CE95" s="100"/>
      <c r="CF95" s="100"/>
      <c r="CG95" s="116"/>
      <c r="CH95" s="96"/>
      <c r="CJ95" s="115">
        <f>AF95/CJ$4</f>
        <v>5.7383966244725748</v>
      </c>
      <c r="CK95" s="113">
        <f t="shared" si="111"/>
        <v>20.588235294117649</v>
      </c>
      <c r="CL95" s="113">
        <f t="shared" si="112"/>
        <v>7.2631578947368416</v>
      </c>
      <c r="CM95" s="113">
        <f t="shared" si="113"/>
        <v>8.7794432548179859</v>
      </c>
      <c r="CN95" s="113">
        <f t="shared" si="114"/>
        <v>28.104575163398692</v>
      </c>
      <c r="CO95" s="113">
        <f t="shared" si="115"/>
        <v>17.931034482758619</v>
      </c>
      <c r="CP95" s="113">
        <f t="shared" si="116"/>
        <v>144.52554744525548</v>
      </c>
      <c r="CQ95" s="113">
        <f t="shared" si="117"/>
        <v>267.64705882352939</v>
      </c>
      <c r="CR95" s="113">
        <f t="shared" si="118"/>
        <v>551.18110236220468</v>
      </c>
      <c r="CS95" s="113">
        <f t="shared" si="119"/>
        <v>911.66077738515912</v>
      </c>
      <c r="CT95" s="113">
        <f t="shared" si="120"/>
        <v>1546.8277945619334</v>
      </c>
      <c r="CU95" s="113">
        <f t="shared" si="121"/>
        <v>2015.686274509804</v>
      </c>
      <c r="CV95" s="113">
        <f t="shared" si="122"/>
        <v>2576.4705882352941</v>
      </c>
      <c r="CW95" s="113">
        <f t="shared" si="123"/>
        <v>3358.267716535433</v>
      </c>
    </row>
    <row r="96" spans="1:101" s="118" customFormat="1">
      <c r="A96" s="111" t="s">
        <v>330</v>
      </c>
      <c r="B96" s="112" t="s">
        <v>244</v>
      </c>
      <c r="C96" s="111"/>
      <c r="D96" s="113">
        <v>11.034000000000001</v>
      </c>
      <c r="E96" s="114">
        <v>0.18290000000000001</v>
      </c>
      <c r="F96" s="114">
        <v>1.1000000000000001E-3</v>
      </c>
      <c r="G96" s="115">
        <v>8.8800000000000008</v>
      </c>
      <c r="H96" s="116">
        <v>0.4</v>
      </c>
      <c r="I96" s="117">
        <v>0.35399999999999998</v>
      </c>
      <c r="J96" s="115">
        <v>1.4999999999999999E-2</v>
      </c>
      <c r="K96" s="116">
        <v>0.98873</v>
      </c>
      <c r="M96" s="119">
        <v>1952</v>
      </c>
      <c r="N96" s="118">
        <v>71</v>
      </c>
      <c r="O96" s="119">
        <v>2680.1</v>
      </c>
      <c r="P96" s="118">
        <v>6.8</v>
      </c>
      <c r="Q96" s="113">
        <v>27.2</v>
      </c>
      <c r="R96" s="117">
        <v>7.1999999999999995E-2</v>
      </c>
      <c r="T96" s="121">
        <v>42000</v>
      </c>
      <c r="U96" s="121">
        <v>11000</v>
      </c>
      <c r="V96" s="118">
        <v>0.9</v>
      </c>
      <c r="W96" s="118">
        <v>1.8</v>
      </c>
      <c r="X96" s="118">
        <v>62</v>
      </c>
      <c r="Y96" s="118">
        <v>24</v>
      </c>
      <c r="Z96" s="118">
        <v>8.1</v>
      </c>
      <c r="AA96" s="118">
        <v>1.9</v>
      </c>
      <c r="AB96" s="118">
        <v>2.54</v>
      </c>
      <c r="AC96" s="118">
        <v>0.89</v>
      </c>
      <c r="AD96" s="118">
        <v>5420</v>
      </c>
      <c r="AE96" s="118">
        <v>810</v>
      </c>
      <c r="AF96" s="115">
        <v>500</v>
      </c>
      <c r="AG96" s="117">
        <v>130</v>
      </c>
      <c r="AH96" s="116">
        <v>1410</v>
      </c>
      <c r="AI96" s="116">
        <v>390</v>
      </c>
      <c r="AJ96" s="115">
        <v>229</v>
      </c>
      <c r="AK96" s="115">
        <v>58</v>
      </c>
      <c r="AL96" s="116">
        <v>1250</v>
      </c>
      <c r="AM96" s="116">
        <v>350</v>
      </c>
      <c r="AN96" s="116">
        <v>322</v>
      </c>
      <c r="AO96" s="116">
        <v>79</v>
      </c>
      <c r="AP96" s="116">
        <v>28.2</v>
      </c>
      <c r="AQ96" s="116">
        <v>6.6</v>
      </c>
      <c r="AR96" s="116">
        <v>424</v>
      </c>
      <c r="AS96" s="113">
        <v>89</v>
      </c>
      <c r="AT96" s="116">
        <v>78</v>
      </c>
      <c r="AU96" s="116">
        <v>12</v>
      </c>
      <c r="AV96" s="119">
        <v>631</v>
      </c>
      <c r="AW96" s="118">
        <v>84</v>
      </c>
      <c r="AX96" s="118">
        <v>200</v>
      </c>
      <c r="AY96" s="118">
        <v>24</v>
      </c>
      <c r="AZ96" s="118">
        <v>808</v>
      </c>
      <c r="BA96" s="118">
        <v>72</v>
      </c>
      <c r="BB96" s="118">
        <v>142</v>
      </c>
      <c r="BC96" s="118">
        <v>18</v>
      </c>
      <c r="BD96" s="118">
        <v>1170</v>
      </c>
      <c r="BE96" s="118">
        <v>120</v>
      </c>
      <c r="BF96" s="118">
        <v>223</v>
      </c>
      <c r="BG96" s="118">
        <v>23</v>
      </c>
      <c r="BI96" s="113">
        <v>8.9</v>
      </c>
      <c r="BJ96" s="118">
        <v>4.2</v>
      </c>
      <c r="BK96" s="118">
        <v>541000</v>
      </c>
      <c r="BL96" s="118">
        <v>60000</v>
      </c>
      <c r="BM96" s="118">
        <v>8610</v>
      </c>
      <c r="BN96" s="118">
        <v>870</v>
      </c>
      <c r="BO96" s="119">
        <v>119</v>
      </c>
      <c r="BP96" s="118">
        <v>13</v>
      </c>
      <c r="BQ96" s="119">
        <v>172</v>
      </c>
      <c r="BR96" s="118">
        <v>16</v>
      </c>
      <c r="BT96" s="115"/>
      <c r="BU96" s="116"/>
      <c r="BV96" s="116"/>
      <c r="BW96" s="116"/>
      <c r="BX96" s="119"/>
      <c r="BY96" s="116"/>
      <c r="BZ96" s="117"/>
      <c r="CA96" s="115"/>
      <c r="CB96" s="99"/>
      <c r="CC96" s="99"/>
      <c r="CD96" s="120"/>
      <c r="CE96" s="100"/>
      <c r="CF96" s="100"/>
      <c r="CG96" s="116"/>
      <c r="CH96" s="96"/>
      <c r="CJ96" s="115">
        <f>AF96/CJ$4</f>
        <v>2109.7046413502112</v>
      </c>
      <c r="CK96" s="113">
        <f t="shared" si="111"/>
        <v>2303.9215686274511</v>
      </c>
      <c r="CL96" s="113">
        <f t="shared" si="112"/>
        <v>2410.5263157894738</v>
      </c>
      <c r="CM96" s="113">
        <f t="shared" si="113"/>
        <v>2676.6595289079228</v>
      </c>
      <c r="CN96" s="113">
        <f t="shared" si="114"/>
        <v>2104.5751633986929</v>
      </c>
      <c r="CO96" s="113">
        <f t="shared" si="115"/>
        <v>486.20689655172413</v>
      </c>
      <c r="CP96" s="113">
        <f t="shared" si="116"/>
        <v>2063.2603406326034</v>
      </c>
      <c r="CQ96" s="113">
        <f t="shared" si="117"/>
        <v>2085.5614973262032</v>
      </c>
      <c r="CR96" s="113">
        <f t="shared" si="118"/>
        <v>2484.251968503937</v>
      </c>
      <c r="CS96" s="113">
        <f t="shared" si="119"/>
        <v>3533.5689045936397</v>
      </c>
      <c r="CT96" s="113">
        <f t="shared" si="120"/>
        <v>4882.1752265861023</v>
      </c>
      <c r="CU96" s="113">
        <f t="shared" si="121"/>
        <v>5568.6274509803925</v>
      </c>
      <c r="CV96" s="113">
        <f t="shared" si="122"/>
        <v>6882.3529411764703</v>
      </c>
      <c r="CW96" s="113">
        <f t="shared" si="123"/>
        <v>8779.5275590551191</v>
      </c>
    </row>
    <row r="97" spans="1:101" s="118" customFormat="1">
      <c r="A97" s="111" t="s">
        <v>331</v>
      </c>
      <c r="B97" s="112" t="s">
        <v>244</v>
      </c>
      <c r="C97" s="111"/>
      <c r="D97" s="113">
        <v>11.023</v>
      </c>
      <c r="E97" s="114">
        <v>0.18464</v>
      </c>
      <c r="F97" s="114">
        <v>1E-3</v>
      </c>
      <c r="G97" s="115">
        <v>13.28</v>
      </c>
      <c r="H97" s="116">
        <v>0.43</v>
      </c>
      <c r="I97" s="117">
        <v>0.52490000000000003</v>
      </c>
      <c r="J97" s="115">
        <v>1.6E-2</v>
      </c>
      <c r="K97" s="116">
        <v>0.93862000000000001</v>
      </c>
      <c r="M97" s="119">
        <v>2719</v>
      </c>
      <c r="N97" s="118">
        <v>66</v>
      </c>
      <c r="O97" s="119">
        <v>2695</v>
      </c>
      <c r="P97" s="118">
        <v>5.2</v>
      </c>
      <c r="Q97" s="113">
        <v>-0.9</v>
      </c>
      <c r="R97" s="117">
        <v>2.8E-3</v>
      </c>
      <c r="T97" s="118">
        <v>330</v>
      </c>
      <c r="U97" s="118">
        <v>120</v>
      </c>
      <c r="V97" s="118" t="s">
        <v>250</v>
      </c>
      <c r="W97" s="118" t="s">
        <v>250</v>
      </c>
      <c r="X97" s="118">
        <v>0.77</v>
      </c>
      <c r="Y97" s="118">
        <v>0.4</v>
      </c>
      <c r="Z97" s="118">
        <v>6.2</v>
      </c>
      <c r="AA97" s="118">
        <v>1.4</v>
      </c>
      <c r="AB97" s="118">
        <v>0.91</v>
      </c>
      <c r="AC97" s="118">
        <v>0.36</v>
      </c>
      <c r="AD97" s="118">
        <v>2410</v>
      </c>
      <c r="AE97" s="118">
        <v>190</v>
      </c>
      <c r="AF97" s="115">
        <v>1.56</v>
      </c>
      <c r="AG97" s="117">
        <v>0.18</v>
      </c>
      <c r="AH97" s="116">
        <v>7.48</v>
      </c>
      <c r="AI97" s="116">
        <v>0.93</v>
      </c>
      <c r="AJ97" s="115">
        <v>0.79</v>
      </c>
      <c r="AK97" s="115">
        <v>0.15</v>
      </c>
      <c r="AL97" s="116">
        <v>5.7</v>
      </c>
      <c r="AM97" s="116">
        <v>1.5</v>
      </c>
      <c r="AN97" s="116">
        <v>8.6</v>
      </c>
      <c r="AO97" s="116">
        <v>1.9</v>
      </c>
      <c r="AP97" s="116">
        <v>1.51</v>
      </c>
      <c r="AQ97" s="116">
        <v>0.37</v>
      </c>
      <c r="AR97" s="116">
        <v>53.2</v>
      </c>
      <c r="AS97" s="113">
        <v>7</v>
      </c>
      <c r="AT97" s="116">
        <v>18</v>
      </c>
      <c r="AU97" s="116">
        <v>1.6</v>
      </c>
      <c r="AV97" s="119">
        <v>218</v>
      </c>
      <c r="AW97" s="118">
        <v>15</v>
      </c>
      <c r="AX97" s="118">
        <v>82.4</v>
      </c>
      <c r="AY97" s="118">
        <v>5.3</v>
      </c>
      <c r="AZ97" s="118">
        <v>396</v>
      </c>
      <c r="BA97" s="118">
        <v>33</v>
      </c>
      <c r="BB97" s="118">
        <v>74.7</v>
      </c>
      <c r="BC97" s="118">
        <v>5.2</v>
      </c>
      <c r="BD97" s="118">
        <v>663</v>
      </c>
      <c r="BE97" s="118">
        <v>68</v>
      </c>
      <c r="BF97" s="118">
        <v>124</v>
      </c>
      <c r="BG97" s="118">
        <v>11</v>
      </c>
      <c r="BI97" s="113">
        <v>5.6</v>
      </c>
      <c r="BJ97" s="118">
        <v>3</v>
      </c>
      <c r="BK97" s="118">
        <v>505000</v>
      </c>
      <c r="BL97" s="118">
        <v>45000</v>
      </c>
      <c r="BM97" s="118">
        <v>7800</v>
      </c>
      <c r="BN97" s="118">
        <v>660</v>
      </c>
      <c r="BO97" s="119">
        <v>43.1</v>
      </c>
      <c r="BP97" s="118">
        <v>2.5</v>
      </c>
      <c r="BQ97" s="119">
        <v>80.099999999999994</v>
      </c>
      <c r="BR97" s="118">
        <v>5</v>
      </c>
      <c r="BT97" s="115"/>
      <c r="BU97" s="116"/>
      <c r="BV97" s="116"/>
      <c r="BW97" s="116"/>
      <c r="BX97" s="119"/>
      <c r="BY97" s="116"/>
      <c r="BZ97" s="117"/>
      <c r="CA97" s="115"/>
      <c r="CB97" s="99"/>
      <c r="CC97" s="99"/>
      <c r="CD97" s="120"/>
      <c r="CE97" s="100"/>
      <c r="CF97" s="100"/>
      <c r="CG97" s="116"/>
      <c r="CH97" s="96"/>
      <c r="CJ97" s="115">
        <f>AF97/CJ$4</f>
        <v>6.5822784810126587</v>
      </c>
      <c r="CK97" s="113">
        <f t="shared" si="111"/>
        <v>12.222222222222223</v>
      </c>
      <c r="CL97" s="113">
        <f t="shared" si="112"/>
        <v>8.3157894736842106</v>
      </c>
      <c r="CM97" s="113">
        <f t="shared" si="113"/>
        <v>12.205567451820128</v>
      </c>
      <c r="CN97" s="113">
        <f t="shared" si="114"/>
        <v>56.209150326797385</v>
      </c>
      <c r="CO97" s="113">
        <f t="shared" si="115"/>
        <v>26.034482758620687</v>
      </c>
      <c r="CP97" s="113">
        <f t="shared" si="116"/>
        <v>258.8807785888078</v>
      </c>
      <c r="CQ97" s="113">
        <f t="shared" si="117"/>
        <v>481.28342245989302</v>
      </c>
      <c r="CR97" s="113">
        <f t="shared" si="118"/>
        <v>858.26771653543301</v>
      </c>
      <c r="CS97" s="113">
        <f t="shared" si="119"/>
        <v>1455.8303886925796</v>
      </c>
      <c r="CT97" s="113">
        <f t="shared" si="120"/>
        <v>2392.7492447129907</v>
      </c>
      <c r="CU97" s="113">
        <f t="shared" si="121"/>
        <v>2929.4117647058824</v>
      </c>
      <c r="CV97" s="113">
        <f t="shared" si="122"/>
        <v>3899.9999999999995</v>
      </c>
      <c r="CW97" s="113">
        <f t="shared" si="123"/>
        <v>4881.889763779528</v>
      </c>
    </row>
    <row r="98" spans="1:101" s="98" customFormat="1">
      <c r="A98" s="3" t="s">
        <v>332</v>
      </c>
      <c r="B98" s="92" t="s">
        <v>244</v>
      </c>
      <c r="C98" s="3"/>
      <c r="D98" s="93">
        <v>11.007</v>
      </c>
      <c r="E98" s="94">
        <v>0.185</v>
      </c>
      <c r="F98" s="94">
        <v>1.2999999999999999E-3</v>
      </c>
      <c r="G98" s="95">
        <v>13.17</v>
      </c>
      <c r="H98" s="96">
        <v>0.39</v>
      </c>
      <c r="I98" s="97">
        <v>0.51949999999999996</v>
      </c>
      <c r="J98" s="95">
        <v>1.4E-2</v>
      </c>
      <c r="K98" s="96">
        <v>0.50195000000000001</v>
      </c>
      <c r="M98" s="99">
        <v>2697</v>
      </c>
      <c r="N98" s="98">
        <v>60</v>
      </c>
      <c r="O98" s="99">
        <v>2697.8</v>
      </c>
      <c r="P98" s="98">
        <v>6.5</v>
      </c>
      <c r="Q98" s="93">
        <v>0.02</v>
      </c>
      <c r="R98" s="97">
        <v>1.5E-3</v>
      </c>
      <c r="T98" s="98">
        <v>270</v>
      </c>
      <c r="U98" s="98">
        <v>150</v>
      </c>
      <c r="V98" s="98" t="s">
        <v>250</v>
      </c>
      <c r="W98" s="98" t="s">
        <v>250</v>
      </c>
      <c r="X98" s="98">
        <v>0.47</v>
      </c>
      <c r="Y98" s="98">
        <v>0.28999999999999998</v>
      </c>
      <c r="Z98" s="98">
        <v>6.3</v>
      </c>
      <c r="AA98" s="98">
        <v>1.3</v>
      </c>
      <c r="AB98" s="98">
        <v>1.99</v>
      </c>
      <c r="AC98" s="98">
        <v>0.79</v>
      </c>
      <c r="AD98" s="98">
        <v>1540</v>
      </c>
      <c r="AE98" s="98">
        <v>130</v>
      </c>
      <c r="AF98" s="95" t="s">
        <v>250</v>
      </c>
      <c r="AG98" s="97" t="s">
        <v>250</v>
      </c>
      <c r="AH98" s="96">
        <v>6.1</v>
      </c>
      <c r="AI98" s="96">
        <v>1.1000000000000001</v>
      </c>
      <c r="AJ98" s="95">
        <v>4.2000000000000003E-2</v>
      </c>
      <c r="AK98" s="95">
        <v>2.8000000000000001E-2</v>
      </c>
      <c r="AL98" s="96">
        <v>1.59</v>
      </c>
      <c r="AM98" s="96">
        <v>0.88</v>
      </c>
      <c r="AN98" s="96">
        <v>3</v>
      </c>
      <c r="AO98" s="96">
        <v>1</v>
      </c>
      <c r="AP98" s="96">
        <v>0.56000000000000005</v>
      </c>
      <c r="AQ98" s="96">
        <v>0.23</v>
      </c>
      <c r="AR98" s="96">
        <v>24.6</v>
      </c>
      <c r="AS98" s="93">
        <v>4.3</v>
      </c>
      <c r="AT98" s="96">
        <v>8.98</v>
      </c>
      <c r="AU98" s="96">
        <v>0.92</v>
      </c>
      <c r="AV98" s="99">
        <v>119.1</v>
      </c>
      <c r="AW98" s="98">
        <v>7.8</v>
      </c>
      <c r="AX98" s="98">
        <v>50.7</v>
      </c>
      <c r="AY98" s="98">
        <v>3.7</v>
      </c>
      <c r="AZ98" s="98">
        <v>261</v>
      </c>
      <c r="BA98" s="98">
        <v>23</v>
      </c>
      <c r="BB98" s="98">
        <v>51.6</v>
      </c>
      <c r="BC98" s="98">
        <v>4.2</v>
      </c>
      <c r="BD98" s="98">
        <v>509</v>
      </c>
      <c r="BE98" s="98">
        <v>61</v>
      </c>
      <c r="BF98" s="98">
        <v>110</v>
      </c>
      <c r="BG98" s="98">
        <v>11</v>
      </c>
      <c r="BI98" s="93">
        <v>7.3</v>
      </c>
      <c r="BJ98" s="98">
        <v>2.9</v>
      </c>
      <c r="BK98" s="98">
        <v>569000</v>
      </c>
      <c r="BL98" s="98">
        <v>56000</v>
      </c>
      <c r="BM98" s="98">
        <v>8780</v>
      </c>
      <c r="BN98" s="98">
        <v>860</v>
      </c>
      <c r="BO98" s="99">
        <v>32.299999999999997</v>
      </c>
      <c r="BP98" s="98">
        <v>1.7</v>
      </c>
      <c r="BQ98" s="99">
        <v>67.5</v>
      </c>
      <c r="BR98" s="98">
        <v>3.7</v>
      </c>
      <c r="BT98" s="95">
        <f t="shared" si="102"/>
        <v>0.13261296660117877</v>
      </c>
      <c r="BU98" s="96">
        <f t="shared" si="103"/>
        <v>3.8364779874213832</v>
      </c>
      <c r="BV98" s="96">
        <f t="shared" si="104"/>
        <v>64.806378132118454</v>
      </c>
      <c r="BW98" s="96">
        <f t="shared" si="105"/>
        <v>0.47851851851851845</v>
      </c>
      <c r="BX98" s="99"/>
      <c r="BY98" s="96">
        <f t="shared" si="106"/>
        <v>3.8364779874213832</v>
      </c>
      <c r="BZ98" s="97">
        <f t="shared" si="107"/>
        <v>2.4912194723515474E-3</v>
      </c>
      <c r="CA98" s="95">
        <f t="shared" si="108"/>
        <v>0.1992890702542657</v>
      </c>
      <c r="CB98" s="99">
        <f t="shared" si="124"/>
        <v>110.46628922311072</v>
      </c>
      <c r="CC98" s="99">
        <f t="shared" si="124"/>
        <v>6.0551891870445873</v>
      </c>
      <c r="CD98" s="100">
        <f t="shared" si="110"/>
        <v>743.20949106883404</v>
      </c>
      <c r="CE98" s="100">
        <f t="shared" si="125"/>
        <v>782.5730081306757</v>
      </c>
      <c r="CF98" s="100">
        <f t="shared" si="101"/>
        <v>42.175602884553399</v>
      </c>
      <c r="CG98" s="96">
        <f>2.28+3.99*LOG(AH98/((CB98*BI98)^(1/2)))</f>
        <v>-0.38510644633927038</v>
      </c>
      <c r="CH98" s="96">
        <f t="shared" si="52"/>
        <v>0.51203492946372142</v>
      </c>
      <c r="CJ98" s="95"/>
      <c r="CK98" s="93">
        <f t="shared" si="111"/>
        <v>9.9673202614379086</v>
      </c>
      <c r="CL98" s="93">
        <f t="shared" si="112"/>
        <v>0.44210526315789478</v>
      </c>
      <c r="CM98" s="93">
        <f t="shared" si="113"/>
        <v>3.4047109207708779</v>
      </c>
      <c r="CN98" s="93">
        <f t="shared" si="114"/>
        <v>19.607843137254903</v>
      </c>
      <c r="CO98" s="93">
        <f t="shared" si="115"/>
        <v>9.6551724137931032</v>
      </c>
      <c r="CP98" s="93">
        <f t="shared" si="116"/>
        <v>119.70802919708031</v>
      </c>
      <c r="CQ98" s="93">
        <f t="shared" si="117"/>
        <v>240.10695187165774</v>
      </c>
      <c r="CR98" s="93">
        <f t="shared" si="118"/>
        <v>468.89763779527556</v>
      </c>
      <c r="CS98" s="93">
        <f t="shared" si="119"/>
        <v>895.75971731448772</v>
      </c>
      <c r="CT98" s="93">
        <f t="shared" si="120"/>
        <v>1577.0392749244713</v>
      </c>
      <c r="CU98" s="93">
        <f t="shared" si="121"/>
        <v>2023.5294117647061</v>
      </c>
      <c r="CV98" s="93">
        <f t="shared" si="122"/>
        <v>2994.1176470588234</v>
      </c>
      <c r="CW98" s="93">
        <f t="shared" si="123"/>
        <v>4330.7086614173231</v>
      </c>
    </row>
    <row r="99" spans="1:101" s="98" customFormat="1">
      <c r="A99" s="3" t="s">
        <v>333</v>
      </c>
      <c r="B99" s="92" t="s">
        <v>244</v>
      </c>
      <c r="C99" s="3"/>
      <c r="D99" s="93">
        <v>11.025</v>
      </c>
      <c r="E99" s="94">
        <v>0.18429999999999999</v>
      </c>
      <c r="F99" s="94">
        <v>1.2999999999999999E-3</v>
      </c>
      <c r="G99" s="95">
        <v>12.99</v>
      </c>
      <c r="H99" s="96">
        <v>0.39</v>
      </c>
      <c r="I99" s="97">
        <v>0.51419999999999999</v>
      </c>
      <c r="J99" s="95">
        <v>1.4E-2</v>
      </c>
      <c r="K99" s="96">
        <v>0.64681</v>
      </c>
      <c r="M99" s="99">
        <v>2675</v>
      </c>
      <c r="N99" s="98">
        <v>60</v>
      </c>
      <c r="O99" s="99">
        <v>2691.9</v>
      </c>
      <c r="P99" s="98">
        <v>5.4</v>
      </c>
      <c r="Q99" s="93">
        <v>0.64</v>
      </c>
      <c r="R99" s="97">
        <v>2.3999999999999998E-3</v>
      </c>
      <c r="T99" s="98">
        <v>360</v>
      </c>
      <c r="U99" s="98">
        <v>160</v>
      </c>
      <c r="V99" s="98" t="s">
        <v>250</v>
      </c>
      <c r="W99" s="98" t="s">
        <v>250</v>
      </c>
      <c r="X99" s="98">
        <v>0.3</v>
      </c>
      <c r="Y99" s="98">
        <v>0.23</v>
      </c>
      <c r="Z99" s="98">
        <v>6.5</v>
      </c>
      <c r="AA99" s="98">
        <v>2</v>
      </c>
      <c r="AB99" s="98">
        <v>1.76</v>
      </c>
      <c r="AC99" s="98">
        <v>0.49</v>
      </c>
      <c r="AD99" s="98">
        <v>1550</v>
      </c>
      <c r="AE99" s="98">
        <v>190</v>
      </c>
      <c r="AF99" s="95" t="s">
        <v>250</v>
      </c>
      <c r="AG99" s="97" t="s">
        <v>250</v>
      </c>
      <c r="AH99" s="96">
        <v>8.9</v>
      </c>
      <c r="AI99" s="96">
        <v>1.8</v>
      </c>
      <c r="AJ99" s="95">
        <v>0.05</v>
      </c>
      <c r="AK99" s="95">
        <v>2.9000000000000001E-2</v>
      </c>
      <c r="AL99" s="96">
        <v>1.28</v>
      </c>
      <c r="AM99" s="96">
        <v>0.75</v>
      </c>
      <c r="AN99" s="96">
        <v>3.5</v>
      </c>
      <c r="AO99" s="96">
        <v>1.3</v>
      </c>
      <c r="AP99" s="96">
        <v>0.7</v>
      </c>
      <c r="AQ99" s="96">
        <v>0.27</v>
      </c>
      <c r="AR99" s="96">
        <v>27</v>
      </c>
      <c r="AS99" s="93">
        <v>5.7</v>
      </c>
      <c r="AT99" s="96">
        <v>10.5</v>
      </c>
      <c r="AU99" s="96">
        <v>1.4</v>
      </c>
      <c r="AV99" s="99">
        <v>138</v>
      </c>
      <c r="AW99" s="98">
        <v>13</v>
      </c>
      <c r="AX99" s="98">
        <v>54.1</v>
      </c>
      <c r="AY99" s="98">
        <v>4.9000000000000004</v>
      </c>
      <c r="AZ99" s="98">
        <v>262</v>
      </c>
      <c r="BA99" s="98">
        <v>22</v>
      </c>
      <c r="BB99" s="98">
        <v>51.2</v>
      </c>
      <c r="BC99" s="98">
        <v>5.7</v>
      </c>
      <c r="BD99" s="98">
        <v>457</v>
      </c>
      <c r="BE99" s="98">
        <v>53</v>
      </c>
      <c r="BF99" s="98">
        <v>90</v>
      </c>
      <c r="BG99" s="98">
        <v>10</v>
      </c>
      <c r="BI99" s="93">
        <v>5.9</v>
      </c>
      <c r="BJ99" s="98">
        <v>3</v>
      </c>
      <c r="BK99" s="98">
        <v>541000</v>
      </c>
      <c r="BL99" s="98">
        <v>59000</v>
      </c>
      <c r="BM99" s="98">
        <v>9600</v>
      </c>
      <c r="BN99" s="98">
        <v>1100</v>
      </c>
      <c r="BO99" s="99">
        <v>44.9</v>
      </c>
      <c r="BP99" s="98">
        <v>4.0999999999999996</v>
      </c>
      <c r="BQ99" s="99">
        <v>74.3</v>
      </c>
      <c r="BR99" s="98">
        <v>6.8</v>
      </c>
      <c r="BT99" s="95">
        <f t="shared" si="102"/>
        <v>0.16258205689277899</v>
      </c>
      <c r="BU99" s="96">
        <f t="shared" si="103"/>
        <v>6.953125</v>
      </c>
      <c r="BV99" s="96">
        <f t="shared" si="104"/>
        <v>56.354166666666664</v>
      </c>
      <c r="BW99" s="96">
        <f t="shared" si="105"/>
        <v>0.60430686406460299</v>
      </c>
      <c r="BX99" s="99"/>
      <c r="BY99" s="96">
        <f t="shared" si="106"/>
        <v>6.953125</v>
      </c>
      <c r="BZ99" s="97">
        <f t="shared" si="107"/>
        <v>4.4858870967741937E-3</v>
      </c>
      <c r="CA99" s="95">
        <f t="shared" si="108"/>
        <v>0.22014345123145296</v>
      </c>
      <c r="CB99" s="99">
        <f t="shared" si="124"/>
        <v>121.59474502632779</v>
      </c>
      <c r="CC99" s="99">
        <f t="shared" si="124"/>
        <v>11.128455803217079</v>
      </c>
      <c r="CD99" s="100">
        <f t="shared" si="110"/>
        <v>723.69141416200569</v>
      </c>
      <c r="CE99" s="100">
        <f t="shared" si="125"/>
        <v>761.52943853971772</v>
      </c>
      <c r="CF99" s="100">
        <f t="shared" si="101"/>
        <v>51.24693468810927</v>
      </c>
      <c r="CG99" s="96">
        <f>2.28+3.99*LOG(AH99/((CB99*BI99)^(1/2)))</f>
        <v>0.37081132454075028</v>
      </c>
      <c r="CH99" s="96">
        <f t="shared" si="52"/>
        <v>0.66281310707117891</v>
      </c>
      <c r="CJ99" s="95"/>
      <c r="CK99" s="93">
        <f t="shared" si="111"/>
        <v>14.542483660130721</v>
      </c>
      <c r="CL99" s="93">
        <f t="shared" si="112"/>
        <v>0.52631578947368418</v>
      </c>
      <c r="CM99" s="93">
        <f t="shared" si="113"/>
        <v>2.7408993576017129</v>
      </c>
      <c r="CN99" s="93">
        <f t="shared" si="114"/>
        <v>22.875816993464053</v>
      </c>
      <c r="CO99" s="93">
        <f t="shared" si="115"/>
        <v>12.068965517241377</v>
      </c>
      <c r="CP99" s="93">
        <f t="shared" si="116"/>
        <v>131.38686131386862</v>
      </c>
      <c r="CQ99" s="93">
        <f t="shared" si="117"/>
        <v>280.74866310160428</v>
      </c>
      <c r="CR99" s="93">
        <f t="shared" si="118"/>
        <v>543.30708661417327</v>
      </c>
      <c r="CS99" s="93">
        <f t="shared" si="119"/>
        <v>955.83038869257962</v>
      </c>
      <c r="CT99" s="93">
        <f t="shared" si="120"/>
        <v>1583.0815709969788</v>
      </c>
      <c r="CU99" s="93">
        <f t="shared" si="121"/>
        <v>2007.8431372549021</v>
      </c>
      <c r="CV99" s="93">
        <f t="shared" si="122"/>
        <v>2688.2352941176468</v>
      </c>
      <c r="CW99" s="93">
        <f t="shared" si="123"/>
        <v>3543.3070866141734</v>
      </c>
    </row>
    <row r="100" spans="1:101" s="118" customFormat="1">
      <c r="A100" s="111" t="s">
        <v>334</v>
      </c>
      <c r="B100" s="112" t="s">
        <v>244</v>
      </c>
      <c r="C100" s="111"/>
      <c r="D100" s="113">
        <v>11.143000000000001</v>
      </c>
      <c r="E100" s="114">
        <v>0.1767</v>
      </c>
      <c r="F100" s="114">
        <v>1.4E-3</v>
      </c>
      <c r="G100" s="115">
        <v>11.85</v>
      </c>
      <c r="H100" s="116">
        <v>0.47</v>
      </c>
      <c r="I100" s="117">
        <v>0.48799999999999999</v>
      </c>
      <c r="J100" s="115">
        <v>1.7000000000000001E-2</v>
      </c>
      <c r="K100" s="116">
        <v>0.96331</v>
      </c>
      <c r="M100" s="119">
        <v>2561</v>
      </c>
      <c r="N100" s="118">
        <v>73</v>
      </c>
      <c r="O100" s="119">
        <v>2626</v>
      </c>
      <c r="P100" s="118">
        <v>11</v>
      </c>
      <c r="Q100" s="113">
        <v>2.5</v>
      </c>
      <c r="R100" s="117">
        <v>8.6E-3</v>
      </c>
      <c r="T100" s="118">
        <v>940</v>
      </c>
      <c r="U100" s="118">
        <v>240</v>
      </c>
      <c r="V100" s="118" t="s">
        <v>250</v>
      </c>
      <c r="W100" s="118" t="s">
        <v>250</v>
      </c>
      <c r="X100" s="118">
        <v>1.52</v>
      </c>
      <c r="Y100" s="118">
        <v>0.75</v>
      </c>
      <c r="Z100" s="118">
        <v>5.26</v>
      </c>
      <c r="AA100" s="118">
        <v>0.92</v>
      </c>
      <c r="AB100" s="118">
        <v>1.1200000000000001</v>
      </c>
      <c r="AC100" s="118">
        <v>0.31</v>
      </c>
      <c r="AD100" s="118">
        <v>2480</v>
      </c>
      <c r="AE100" s="118">
        <v>330</v>
      </c>
      <c r="AF100" s="115">
        <v>5.6</v>
      </c>
      <c r="AG100" s="117">
        <v>1</v>
      </c>
      <c r="AH100" s="116">
        <v>23.5</v>
      </c>
      <c r="AI100" s="116">
        <v>4.9000000000000004</v>
      </c>
      <c r="AJ100" s="115">
        <v>2.73</v>
      </c>
      <c r="AK100" s="115">
        <v>0.54</v>
      </c>
      <c r="AL100" s="116">
        <v>16.5</v>
      </c>
      <c r="AM100" s="116">
        <v>3.5</v>
      </c>
      <c r="AN100" s="116">
        <v>11</v>
      </c>
      <c r="AO100" s="116">
        <v>2.2000000000000002</v>
      </c>
      <c r="AP100" s="116">
        <v>1.39</v>
      </c>
      <c r="AQ100" s="116">
        <v>0.45</v>
      </c>
      <c r="AR100" s="116">
        <v>52.4</v>
      </c>
      <c r="AS100" s="113">
        <v>8.1</v>
      </c>
      <c r="AT100" s="116">
        <v>17.2</v>
      </c>
      <c r="AU100" s="116">
        <v>2.2999999999999998</v>
      </c>
      <c r="AV100" s="119">
        <v>224</v>
      </c>
      <c r="AW100" s="118">
        <v>31</v>
      </c>
      <c r="AX100" s="118">
        <v>83.4</v>
      </c>
      <c r="AY100" s="118">
        <v>8.3000000000000007</v>
      </c>
      <c r="AZ100" s="118">
        <v>394</v>
      </c>
      <c r="BA100" s="118">
        <v>42</v>
      </c>
      <c r="BB100" s="118">
        <v>79.7</v>
      </c>
      <c r="BC100" s="118">
        <v>8.3000000000000007</v>
      </c>
      <c r="BD100" s="118">
        <v>657</v>
      </c>
      <c r="BE100" s="118">
        <v>84</v>
      </c>
      <c r="BF100" s="118">
        <v>129</v>
      </c>
      <c r="BG100" s="118">
        <v>16</v>
      </c>
      <c r="BI100" s="113">
        <v>4</v>
      </c>
      <c r="BJ100" s="118">
        <v>3.7</v>
      </c>
      <c r="BK100" s="118">
        <v>538000</v>
      </c>
      <c r="BL100" s="118">
        <v>73000</v>
      </c>
      <c r="BM100" s="118">
        <v>8800</v>
      </c>
      <c r="BN100" s="118">
        <v>1200</v>
      </c>
      <c r="BO100" s="119">
        <v>44.9</v>
      </c>
      <c r="BP100" s="118">
        <v>4.4000000000000004</v>
      </c>
      <c r="BQ100" s="119">
        <v>88</v>
      </c>
      <c r="BR100" s="118">
        <v>11</v>
      </c>
      <c r="BT100" s="115"/>
      <c r="BU100" s="116"/>
      <c r="BV100" s="116"/>
      <c r="BW100" s="116"/>
      <c r="BX100" s="119"/>
      <c r="BY100" s="116"/>
      <c r="BZ100" s="117"/>
      <c r="CA100" s="115"/>
      <c r="CB100" s="99"/>
      <c r="CC100" s="99"/>
      <c r="CD100" s="120"/>
      <c r="CE100" s="100"/>
      <c r="CF100" s="100"/>
      <c r="CG100" s="116"/>
      <c r="CH100" s="96"/>
      <c r="CJ100" s="115">
        <f t="shared" ref="CJ100:CJ107" si="126">AF100/CJ$4</f>
        <v>23.628691983122362</v>
      </c>
      <c r="CK100" s="113">
        <f t="shared" si="111"/>
        <v>38.398692810457518</v>
      </c>
      <c r="CL100" s="113">
        <f t="shared" si="112"/>
        <v>28.736842105263158</v>
      </c>
      <c r="CM100" s="113">
        <f t="shared" si="113"/>
        <v>35.331905781584581</v>
      </c>
      <c r="CN100" s="113">
        <f t="shared" si="114"/>
        <v>71.895424836601308</v>
      </c>
      <c r="CO100" s="113">
        <f t="shared" si="115"/>
        <v>23.965517241379306</v>
      </c>
      <c r="CP100" s="113">
        <f t="shared" si="116"/>
        <v>254.98783454987836</v>
      </c>
      <c r="CQ100" s="113">
        <f t="shared" si="117"/>
        <v>459.89304812834217</v>
      </c>
      <c r="CR100" s="113">
        <f t="shared" si="118"/>
        <v>881.88976377952758</v>
      </c>
      <c r="CS100" s="113">
        <f t="shared" si="119"/>
        <v>1473.4982332155478</v>
      </c>
      <c r="CT100" s="113">
        <f t="shared" si="120"/>
        <v>2380.6646525679757</v>
      </c>
      <c r="CU100" s="113">
        <f t="shared" si="121"/>
        <v>3125.4901960784318</v>
      </c>
      <c r="CV100" s="113">
        <f t="shared" si="122"/>
        <v>3864.705882352941</v>
      </c>
      <c r="CW100" s="113">
        <f t="shared" si="123"/>
        <v>5078.7401574803152</v>
      </c>
    </row>
    <row r="101" spans="1:101" s="98" customFormat="1">
      <c r="A101" s="3" t="s">
        <v>335</v>
      </c>
      <c r="B101" s="92" t="s">
        <v>244</v>
      </c>
      <c r="C101" s="3"/>
      <c r="D101" s="93">
        <v>11.007</v>
      </c>
      <c r="E101" s="94">
        <v>0.18429999999999999</v>
      </c>
      <c r="F101" s="94">
        <v>1.1000000000000001E-3</v>
      </c>
      <c r="G101" s="95">
        <v>12.936999999999999</v>
      </c>
      <c r="H101" s="96">
        <v>0.38</v>
      </c>
      <c r="I101" s="97">
        <v>0.51249999999999996</v>
      </c>
      <c r="J101" s="95">
        <v>1.4E-2</v>
      </c>
      <c r="K101" s="96">
        <v>0.48415999999999998</v>
      </c>
      <c r="M101" s="99">
        <v>2667</v>
      </c>
      <c r="N101" s="98">
        <v>60</v>
      </c>
      <c r="O101" s="99">
        <v>2692</v>
      </c>
      <c r="P101" s="98">
        <v>5.7</v>
      </c>
      <c r="Q101" s="93">
        <v>0.92</v>
      </c>
      <c r="R101" s="97">
        <v>3.5000000000000001E-3</v>
      </c>
      <c r="T101" s="98">
        <v>320</v>
      </c>
      <c r="U101" s="98">
        <v>130</v>
      </c>
      <c r="V101" s="98" t="s">
        <v>250</v>
      </c>
      <c r="W101" s="98" t="s">
        <v>250</v>
      </c>
      <c r="X101" s="98">
        <v>0.25</v>
      </c>
      <c r="Y101" s="98">
        <v>0.2</v>
      </c>
      <c r="Z101" s="98">
        <v>4.0999999999999996</v>
      </c>
      <c r="AA101" s="98">
        <v>1.1000000000000001</v>
      </c>
      <c r="AB101" s="98">
        <v>1.62</v>
      </c>
      <c r="AC101" s="98">
        <v>0.68</v>
      </c>
      <c r="AD101" s="98">
        <v>2990</v>
      </c>
      <c r="AE101" s="98">
        <v>390</v>
      </c>
      <c r="AF101" s="95">
        <v>3.4000000000000002E-2</v>
      </c>
      <c r="AG101" s="97">
        <v>2.5000000000000001E-2</v>
      </c>
      <c r="AH101" s="96">
        <v>7.7</v>
      </c>
      <c r="AI101" s="96">
        <v>1.4</v>
      </c>
      <c r="AJ101" s="95">
        <v>0.224</v>
      </c>
      <c r="AK101" s="95">
        <v>7.6999999999999999E-2</v>
      </c>
      <c r="AL101" s="96">
        <v>4.3899999999999997</v>
      </c>
      <c r="AM101" s="96">
        <v>0.98</v>
      </c>
      <c r="AN101" s="96">
        <v>9.6999999999999993</v>
      </c>
      <c r="AO101" s="96">
        <v>1.8</v>
      </c>
      <c r="AP101" s="96">
        <v>2.0499999999999998</v>
      </c>
      <c r="AQ101" s="96">
        <v>0.54</v>
      </c>
      <c r="AR101" s="96">
        <v>73</v>
      </c>
      <c r="AS101" s="93">
        <v>10</v>
      </c>
      <c r="AT101" s="96">
        <v>21.8</v>
      </c>
      <c r="AU101" s="96">
        <v>3</v>
      </c>
      <c r="AV101" s="99">
        <v>282</v>
      </c>
      <c r="AW101" s="98">
        <v>22</v>
      </c>
      <c r="AX101" s="98">
        <v>110.1</v>
      </c>
      <c r="AY101" s="98">
        <v>8.4</v>
      </c>
      <c r="AZ101" s="98">
        <v>484</v>
      </c>
      <c r="BA101" s="98">
        <v>34</v>
      </c>
      <c r="BB101" s="98">
        <v>94</v>
      </c>
      <c r="BC101" s="98">
        <v>11</v>
      </c>
      <c r="BD101" s="98">
        <v>753</v>
      </c>
      <c r="BE101" s="98">
        <v>37</v>
      </c>
      <c r="BF101" s="98">
        <v>143</v>
      </c>
      <c r="BG101" s="98">
        <v>16</v>
      </c>
      <c r="BI101" s="93">
        <v>4.5999999999999996</v>
      </c>
      <c r="BJ101" s="98">
        <v>3.2</v>
      </c>
      <c r="BK101" s="98">
        <v>540000</v>
      </c>
      <c r="BL101" s="98">
        <v>58000</v>
      </c>
      <c r="BM101" s="98">
        <v>8310</v>
      </c>
      <c r="BN101" s="98">
        <v>850</v>
      </c>
      <c r="BO101" s="99">
        <v>51.7</v>
      </c>
      <c r="BP101" s="98">
        <v>4</v>
      </c>
      <c r="BQ101" s="99">
        <v>78.7</v>
      </c>
      <c r="BR101" s="98">
        <v>6.1</v>
      </c>
      <c r="BT101" s="95">
        <f t="shared" si="102"/>
        <v>0.10451527224435592</v>
      </c>
      <c r="BU101" s="96">
        <f t="shared" si="103"/>
        <v>1.7539863325740321</v>
      </c>
      <c r="BV101" s="96">
        <f t="shared" si="104"/>
        <v>64.981949458483754</v>
      </c>
      <c r="BW101" s="96">
        <f t="shared" si="105"/>
        <v>0.65692503176620076</v>
      </c>
      <c r="BX101" s="99">
        <f t="shared" ref="BX101:BX107" si="127">CK101/SQRT(CJ101*CL101)</f>
        <v>21.632753966238806</v>
      </c>
      <c r="BY101" s="96">
        <f t="shared" si="106"/>
        <v>1.7539863325740321</v>
      </c>
      <c r="BZ101" s="97">
        <f t="shared" si="107"/>
        <v>5.8661750253312113E-4</v>
      </c>
      <c r="CA101" s="95">
        <f t="shared" si="108"/>
        <v>0.23552130487415285</v>
      </c>
      <c r="CB101" s="99">
        <f t="shared" si="124"/>
        <v>128.79551054605651</v>
      </c>
      <c r="CC101" s="99">
        <f t="shared" si="124"/>
        <v>9.9828794705329678</v>
      </c>
      <c r="CD101" s="100">
        <f t="shared" si="110"/>
        <v>701.80514273689687</v>
      </c>
      <c r="CE101" s="100">
        <f t="shared" si="125"/>
        <v>737.96975311523488</v>
      </c>
      <c r="CF101" s="100">
        <f t="shared" si="101"/>
        <v>66.410795492496916</v>
      </c>
      <c r="CG101" s="96">
        <f>2.28+3.99*LOG(AH101/((CB101*BI101)^(1/2)))</f>
        <v>0.28564417288310229</v>
      </c>
      <c r="CH101" s="96">
        <f t="shared" si="52"/>
        <v>0.78800535965796858</v>
      </c>
      <c r="CJ101" s="95">
        <f t="shared" si="126"/>
        <v>0.14345991561181437</v>
      </c>
      <c r="CK101" s="93">
        <f t="shared" si="111"/>
        <v>12.581699346405228</v>
      </c>
      <c r="CL101" s="93">
        <f t="shared" si="112"/>
        <v>2.3578947368421055</v>
      </c>
      <c r="CM101" s="93">
        <f t="shared" si="113"/>
        <v>9.4004282655246243</v>
      </c>
      <c r="CN101" s="93">
        <f t="shared" si="114"/>
        <v>63.398692810457511</v>
      </c>
      <c r="CO101" s="93">
        <f t="shared" si="115"/>
        <v>35.34482758620689</v>
      </c>
      <c r="CP101" s="93">
        <f t="shared" si="116"/>
        <v>355.23114355231144</v>
      </c>
      <c r="CQ101" s="93">
        <f t="shared" si="117"/>
        <v>582.88770053475935</v>
      </c>
      <c r="CR101" s="93">
        <f t="shared" si="118"/>
        <v>1110.2362204724409</v>
      </c>
      <c r="CS101" s="93">
        <f t="shared" si="119"/>
        <v>1945.2296819787987</v>
      </c>
      <c r="CT101" s="93">
        <f t="shared" si="120"/>
        <v>2924.4712990936555</v>
      </c>
      <c r="CU101" s="93">
        <f t="shared" si="121"/>
        <v>3686.2745098039218</v>
      </c>
      <c r="CV101" s="93">
        <f t="shared" si="122"/>
        <v>4429.411764705882</v>
      </c>
      <c r="CW101" s="93">
        <f t="shared" si="123"/>
        <v>5629.9212598425202</v>
      </c>
    </row>
    <row r="102" spans="1:101" s="118" customFormat="1">
      <c r="A102" s="111" t="s">
        <v>336</v>
      </c>
      <c r="B102" s="112" t="s">
        <v>244</v>
      </c>
      <c r="C102" s="111"/>
      <c r="D102" s="113">
        <v>11.010999999999999</v>
      </c>
      <c r="E102" s="114">
        <v>0.1847</v>
      </c>
      <c r="F102" s="114">
        <v>1.2999999999999999E-3</v>
      </c>
      <c r="G102" s="115">
        <v>12.634</v>
      </c>
      <c r="H102" s="116">
        <v>0.38</v>
      </c>
      <c r="I102" s="117">
        <v>0.4995</v>
      </c>
      <c r="J102" s="115">
        <v>1.4E-2</v>
      </c>
      <c r="K102" s="116">
        <v>0.50129000000000001</v>
      </c>
      <c r="M102" s="119">
        <v>2611.6</v>
      </c>
      <c r="N102" s="118">
        <v>58</v>
      </c>
      <c r="O102" s="119">
        <v>2694.9</v>
      </c>
      <c r="P102" s="118">
        <v>7.4</v>
      </c>
      <c r="Q102" s="113">
        <v>3.09</v>
      </c>
      <c r="R102" s="117">
        <v>8.9999999999999993E-3</v>
      </c>
      <c r="T102" s="118">
        <v>1970</v>
      </c>
      <c r="U102" s="118">
        <v>620</v>
      </c>
      <c r="V102" s="118">
        <v>0.7</v>
      </c>
      <c r="W102" s="118">
        <v>1.3</v>
      </c>
      <c r="X102" s="118">
        <v>2.15</v>
      </c>
      <c r="Y102" s="118">
        <v>0.71</v>
      </c>
      <c r="Z102" s="118">
        <v>4.5999999999999996</v>
      </c>
      <c r="AA102" s="118">
        <v>1.1000000000000001</v>
      </c>
      <c r="AB102" s="118">
        <v>1.55</v>
      </c>
      <c r="AC102" s="118">
        <v>0.44</v>
      </c>
      <c r="AD102" s="118">
        <v>1460</v>
      </c>
      <c r="AE102" s="118">
        <v>210</v>
      </c>
      <c r="AF102" s="115">
        <v>14.1</v>
      </c>
      <c r="AG102" s="117">
        <v>4.2</v>
      </c>
      <c r="AH102" s="116">
        <v>45</v>
      </c>
      <c r="AI102" s="116">
        <v>12</v>
      </c>
      <c r="AJ102" s="115">
        <v>6.4</v>
      </c>
      <c r="AK102" s="115">
        <v>1.8</v>
      </c>
      <c r="AL102" s="116">
        <v>35</v>
      </c>
      <c r="AM102" s="116">
        <v>10</v>
      </c>
      <c r="AN102" s="116">
        <v>14.2</v>
      </c>
      <c r="AO102" s="116">
        <v>4</v>
      </c>
      <c r="AP102" s="116">
        <v>1.27</v>
      </c>
      <c r="AQ102" s="116">
        <v>0.44</v>
      </c>
      <c r="AR102" s="116">
        <v>39.5</v>
      </c>
      <c r="AS102" s="113">
        <v>7.3</v>
      </c>
      <c r="AT102" s="116">
        <v>10.6</v>
      </c>
      <c r="AU102" s="116">
        <v>1.6</v>
      </c>
      <c r="AV102" s="119">
        <v>130</v>
      </c>
      <c r="AW102" s="118">
        <v>16</v>
      </c>
      <c r="AX102" s="118">
        <v>49.7</v>
      </c>
      <c r="AY102" s="118">
        <v>5.6</v>
      </c>
      <c r="AZ102" s="118">
        <v>233</v>
      </c>
      <c r="BA102" s="118">
        <v>21</v>
      </c>
      <c r="BB102" s="118">
        <v>46.9</v>
      </c>
      <c r="BC102" s="118">
        <v>4.4000000000000004</v>
      </c>
      <c r="BD102" s="118">
        <v>414</v>
      </c>
      <c r="BE102" s="118">
        <v>49</v>
      </c>
      <c r="BF102" s="118">
        <v>80.5</v>
      </c>
      <c r="BG102" s="118">
        <v>8.3000000000000007</v>
      </c>
      <c r="BI102" s="113">
        <v>1.7</v>
      </c>
      <c r="BJ102" s="118">
        <v>2.2000000000000002</v>
      </c>
      <c r="BK102" s="118">
        <v>572000</v>
      </c>
      <c r="BL102" s="118">
        <v>71000</v>
      </c>
      <c r="BM102" s="118">
        <v>9600</v>
      </c>
      <c r="BN102" s="118">
        <v>1100</v>
      </c>
      <c r="BO102" s="119">
        <v>33.200000000000003</v>
      </c>
      <c r="BP102" s="118">
        <v>3.2</v>
      </c>
      <c r="BQ102" s="119">
        <v>59.2</v>
      </c>
      <c r="BR102" s="118">
        <v>5.6</v>
      </c>
      <c r="BT102" s="115"/>
      <c r="BU102" s="116"/>
      <c r="BV102" s="116"/>
      <c r="BW102" s="116"/>
      <c r="BX102" s="119"/>
      <c r="BY102" s="116"/>
      <c r="BZ102" s="117"/>
      <c r="CA102" s="115"/>
      <c r="CB102" s="99"/>
      <c r="CC102" s="99"/>
      <c r="CD102" s="120"/>
      <c r="CE102" s="100"/>
      <c r="CF102" s="100"/>
      <c r="CG102" s="116"/>
      <c r="CH102" s="96"/>
      <c r="CJ102" s="115">
        <f t="shared" si="126"/>
        <v>59.493670886075954</v>
      </c>
      <c r="CK102" s="113">
        <f t="shared" si="111"/>
        <v>73.529411764705884</v>
      </c>
      <c r="CL102" s="113">
        <f t="shared" si="112"/>
        <v>67.368421052631575</v>
      </c>
      <c r="CM102" s="113">
        <f t="shared" si="113"/>
        <v>74.946466809421835</v>
      </c>
      <c r="CN102" s="113">
        <f t="shared" si="114"/>
        <v>92.810457516339866</v>
      </c>
      <c r="CO102" s="113">
        <f t="shared" si="115"/>
        <v>21.896551724137929</v>
      </c>
      <c r="CP102" s="113">
        <f t="shared" si="116"/>
        <v>192.21411192214114</v>
      </c>
      <c r="CQ102" s="113">
        <f t="shared" si="117"/>
        <v>283.42245989304809</v>
      </c>
      <c r="CR102" s="113">
        <f t="shared" si="118"/>
        <v>511.81102362204723</v>
      </c>
      <c r="CS102" s="113">
        <f t="shared" si="119"/>
        <v>878.09187279151956</v>
      </c>
      <c r="CT102" s="113">
        <f t="shared" si="120"/>
        <v>1407.8549848942598</v>
      </c>
      <c r="CU102" s="113">
        <f t="shared" si="121"/>
        <v>1839.2156862745098</v>
      </c>
      <c r="CV102" s="113">
        <f t="shared" si="122"/>
        <v>2435.2941176470586</v>
      </c>
      <c r="CW102" s="113">
        <f t="shared" si="123"/>
        <v>3169.2913385826773</v>
      </c>
    </row>
    <row r="103" spans="1:101" s="98" customFormat="1">
      <c r="A103" s="3" t="s">
        <v>337</v>
      </c>
      <c r="B103" s="92" t="s">
        <v>244</v>
      </c>
      <c r="C103" s="3"/>
      <c r="D103" s="93">
        <v>11.007</v>
      </c>
      <c r="E103" s="94">
        <v>0.18379999999999999</v>
      </c>
      <c r="F103" s="94">
        <v>1.2999999999999999E-3</v>
      </c>
      <c r="G103" s="95">
        <v>13.01</v>
      </c>
      <c r="H103" s="96">
        <v>0.39</v>
      </c>
      <c r="I103" s="97">
        <v>0.51690000000000003</v>
      </c>
      <c r="J103" s="95">
        <v>1.4E-2</v>
      </c>
      <c r="K103" s="96">
        <v>0.47683999999999999</v>
      </c>
      <c r="M103" s="99">
        <v>2686</v>
      </c>
      <c r="N103" s="98">
        <v>60</v>
      </c>
      <c r="O103" s="99">
        <v>2687.6</v>
      </c>
      <c r="P103" s="98">
        <v>5.5</v>
      </c>
      <c r="Q103" s="93">
        <v>0.06</v>
      </c>
      <c r="R103" s="97">
        <v>1.6000000000000001E-3</v>
      </c>
      <c r="T103" s="98">
        <v>100</v>
      </c>
      <c r="U103" s="98">
        <v>140</v>
      </c>
      <c r="V103" s="98" t="s">
        <v>250</v>
      </c>
      <c r="W103" s="98" t="s">
        <v>250</v>
      </c>
      <c r="X103" s="98">
        <v>0.73</v>
      </c>
      <c r="Y103" s="98">
        <v>0.48</v>
      </c>
      <c r="Z103" s="98">
        <v>4.0999999999999996</v>
      </c>
      <c r="AA103" s="98">
        <v>1.1000000000000001</v>
      </c>
      <c r="AB103" s="98">
        <v>1.64</v>
      </c>
      <c r="AC103" s="98">
        <v>0.57999999999999996</v>
      </c>
      <c r="AD103" s="98">
        <v>3580</v>
      </c>
      <c r="AE103" s="98">
        <v>670</v>
      </c>
      <c r="AF103" s="95">
        <v>1.2E-2</v>
      </c>
      <c r="AG103" s="97">
        <v>1.2E-2</v>
      </c>
      <c r="AH103" s="96">
        <v>5.9</v>
      </c>
      <c r="AI103" s="96">
        <v>1.4</v>
      </c>
      <c r="AJ103" s="95">
        <v>0.193</v>
      </c>
      <c r="AK103" s="95">
        <v>6.4000000000000001E-2</v>
      </c>
      <c r="AL103" s="96">
        <v>4.8</v>
      </c>
      <c r="AM103" s="96">
        <v>1.6</v>
      </c>
      <c r="AN103" s="96">
        <v>10.199999999999999</v>
      </c>
      <c r="AO103" s="96">
        <v>3</v>
      </c>
      <c r="AP103" s="96">
        <v>2.33</v>
      </c>
      <c r="AQ103" s="96">
        <v>0.49</v>
      </c>
      <c r="AR103" s="96">
        <v>87</v>
      </c>
      <c r="AS103" s="93">
        <v>14</v>
      </c>
      <c r="AT103" s="96">
        <v>27</v>
      </c>
      <c r="AU103" s="96">
        <v>2.8</v>
      </c>
      <c r="AV103" s="99">
        <v>320</v>
      </c>
      <c r="AW103" s="98">
        <v>28</v>
      </c>
      <c r="AX103" s="98">
        <v>119</v>
      </c>
      <c r="AY103" s="98">
        <v>10</v>
      </c>
      <c r="AZ103" s="98">
        <v>545</v>
      </c>
      <c r="BA103" s="98">
        <v>61</v>
      </c>
      <c r="BB103" s="98">
        <v>108</v>
      </c>
      <c r="BC103" s="98">
        <v>19</v>
      </c>
      <c r="BD103" s="98">
        <v>880</v>
      </c>
      <c r="BE103" s="98">
        <v>130</v>
      </c>
      <c r="BF103" s="98">
        <v>171</v>
      </c>
      <c r="BG103" s="98">
        <v>22</v>
      </c>
      <c r="BI103" s="93">
        <v>5.9</v>
      </c>
      <c r="BJ103" s="98">
        <v>2.6</v>
      </c>
      <c r="BK103" s="98">
        <v>552000</v>
      </c>
      <c r="BL103" s="98">
        <v>96000</v>
      </c>
      <c r="BM103" s="98">
        <v>8500</v>
      </c>
      <c r="BN103" s="98">
        <v>1200</v>
      </c>
      <c r="BO103" s="99">
        <v>52.8</v>
      </c>
      <c r="BP103" s="98">
        <v>7.4</v>
      </c>
      <c r="BQ103" s="99">
        <v>80</v>
      </c>
      <c r="BR103" s="98">
        <v>11</v>
      </c>
      <c r="BT103" s="95">
        <f t="shared" si="102"/>
        <v>9.0909090909090912E-2</v>
      </c>
      <c r="BU103" s="96">
        <f t="shared" si="103"/>
        <v>1.2291666666666667</v>
      </c>
      <c r="BV103" s="96">
        <f t="shared" si="104"/>
        <v>64.941176470588232</v>
      </c>
      <c r="BW103" s="96">
        <f t="shared" si="105"/>
        <v>0.65999999999999992</v>
      </c>
      <c r="BX103" s="99">
        <f t="shared" si="127"/>
        <v>30.0584988434303</v>
      </c>
      <c r="BY103" s="96">
        <f t="shared" si="106"/>
        <v>1.2291666666666667</v>
      </c>
      <c r="BZ103" s="97">
        <f t="shared" si="107"/>
        <v>3.4334264432029797E-4</v>
      </c>
      <c r="CA103" s="95">
        <f t="shared" si="108"/>
        <v>0.23912217031787164</v>
      </c>
      <c r="CB103" s="99">
        <f t="shared" si="124"/>
        <v>130.92300944961269</v>
      </c>
      <c r="CC103" s="99">
        <f t="shared" si="124"/>
        <v>18.001913799321745</v>
      </c>
      <c r="CD103" s="100">
        <f t="shared" si="110"/>
        <v>723.69141416200569</v>
      </c>
      <c r="CE103" s="100">
        <f t="shared" si="125"/>
        <v>761.52943853971772</v>
      </c>
      <c r="CF103" s="100">
        <f t="shared" si="101"/>
        <v>44.765371789400277</v>
      </c>
      <c r="CG103" s="96">
        <f t="shared" ref="CG103:CG116" si="128">2.28+3.99*LOG(AH103/((CB103*BI103)^(1/2)))</f>
        <v>-0.40559711611687632</v>
      </c>
      <c r="CH103" s="96">
        <f t="shared" si="52"/>
        <v>0.67533655373746493</v>
      </c>
      <c r="CJ103" s="95">
        <f t="shared" si="126"/>
        <v>5.0632911392405069E-2</v>
      </c>
      <c r="CK103" s="93">
        <f t="shared" si="111"/>
        <v>9.6405228758169947</v>
      </c>
      <c r="CL103" s="93">
        <f t="shared" si="112"/>
        <v>2.0315789473684212</v>
      </c>
      <c r="CM103" s="93">
        <f t="shared" si="113"/>
        <v>10.278372591006423</v>
      </c>
      <c r="CN103" s="93">
        <f t="shared" si="114"/>
        <v>66.666666666666657</v>
      </c>
      <c r="CO103" s="93">
        <f t="shared" si="115"/>
        <v>40.172413793103445</v>
      </c>
      <c r="CP103" s="93">
        <f t="shared" si="116"/>
        <v>423.35766423357666</v>
      </c>
      <c r="CQ103" s="93">
        <f t="shared" si="117"/>
        <v>721.92513368983953</v>
      </c>
      <c r="CR103" s="93">
        <f t="shared" si="118"/>
        <v>1259.8425196850394</v>
      </c>
      <c r="CS103" s="93">
        <f t="shared" si="119"/>
        <v>2102.4734982332157</v>
      </c>
      <c r="CT103" s="93">
        <f t="shared" si="120"/>
        <v>3293.0513595166162</v>
      </c>
      <c r="CU103" s="93">
        <f t="shared" si="121"/>
        <v>4235.2941176470595</v>
      </c>
      <c r="CV103" s="93">
        <f t="shared" si="122"/>
        <v>5176.4705882352937</v>
      </c>
      <c r="CW103" s="93">
        <f t="shared" si="123"/>
        <v>6732.2834645669291</v>
      </c>
    </row>
    <row r="104" spans="1:101" s="98" customFormat="1">
      <c r="A104" s="3" t="s">
        <v>338</v>
      </c>
      <c r="B104" s="92" t="s">
        <v>244</v>
      </c>
      <c r="C104" s="3"/>
      <c r="D104" s="93">
        <v>11.045</v>
      </c>
      <c r="E104" s="94">
        <v>0.18489</v>
      </c>
      <c r="F104" s="94">
        <v>1E-3</v>
      </c>
      <c r="G104" s="95">
        <v>12.98</v>
      </c>
      <c r="H104" s="96">
        <v>0.4</v>
      </c>
      <c r="I104" s="97">
        <v>0.51180000000000003</v>
      </c>
      <c r="J104" s="95">
        <v>1.4E-2</v>
      </c>
      <c r="K104" s="96">
        <v>0.80978000000000006</v>
      </c>
      <c r="M104" s="99">
        <v>2664</v>
      </c>
      <c r="N104" s="98">
        <v>61</v>
      </c>
      <c r="O104" s="99">
        <v>2700.6</v>
      </c>
      <c r="P104" s="98">
        <v>4.7</v>
      </c>
      <c r="Q104" s="93">
        <v>1.35</v>
      </c>
      <c r="R104" s="97">
        <v>4.3E-3</v>
      </c>
      <c r="T104" s="98">
        <v>360</v>
      </c>
      <c r="U104" s="98">
        <v>160</v>
      </c>
      <c r="V104" s="98" t="s">
        <v>250</v>
      </c>
      <c r="W104" s="98" t="s">
        <v>250</v>
      </c>
      <c r="X104" s="98">
        <v>0.18</v>
      </c>
      <c r="Y104" s="98">
        <v>0.17</v>
      </c>
      <c r="Z104" s="98">
        <v>5.8</v>
      </c>
      <c r="AA104" s="98">
        <v>1.3</v>
      </c>
      <c r="AB104" s="98">
        <v>2.0699999999999998</v>
      </c>
      <c r="AC104" s="98">
        <v>0.72</v>
      </c>
      <c r="AD104" s="98">
        <v>1770</v>
      </c>
      <c r="AE104" s="98">
        <v>190</v>
      </c>
      <c r="AF104" s="95">
        <v>4.2000000000000003E-2</v>
      </c>
      <c r="AG104" s="97">
        <v>2.3E-2</v>
      </c>
      <c r="AH104" s="96">
        <v>8.3000000000000007</v>
      </c>
      <c r="AI104" s="96">
        <v>1.7</v>
      </c>
      <c r="AJ104" s="95">
        <v>0.114</v>
      </c>
      <c r="AK104" s="95">
        <v>4.4999999999999998E-2</v>
      </c>
      <c r="AL104" s="96">
        <v>1.25</v>
      </c>
      <c r="AM104" s="96">
        <v>0.64</v>
      </c>
      <c r="AN104" s="96">
        <v>5.9</v>
      </c>
      <c r="AO104" s="96">
        <v>1.5</v>
      </c>
      <c r="AP104" s="96">
        <v>0.97</v>
      </c>
      <c r="AQ104" s="96">
        <v>0.25</v>
      </c>
      <c r="AR104" s="96">
        <v>30.6</v>
      </c>
      <c r="AS104" s="93">
        <v>5.7</v>
      </c>
      <c r="AT104" s="96">
        <v>12</v>
      </c>
      <c r="AU104" s="96">
        <v>1.7</v>
      </c>
      <c r="AV104" s="99">
        <v>165</v>
      </c>
      <c r="AW104" s="98">
        <v>27</v>
      </c>
      <c r="AX104" s="98">
        <v>65.3</v>
      </c>
      <c r="AY104" s="98">
        <v>8.1999999999999993</v>
      </c>
      <c r="AZ104" s="98">
        <v>303</v>
      </c>
      <c r="BA104" s="98">
        <v>42</v>
      </c>
      <c r="BB104" s="98">
        <v>60.2</v>
      </c>
      <c r="BC104" s="98">
        <v>8.3000000000000007</v>
      </c>
      <c r="BD104" s="98">
        <v>526</v>
      </c>
      <c r="BE104" s="98">
        <v>79</v>
      </c>
      <c r="BF104" s="98">
        <v>97.7</v>
      </c>
      <c r="BG104" s="98">
        <v>8.6999999999999993</v>
      </c>
      <c r="BI104" s="93">
        <v>2.8</v>
      </c>
      <c r="BJ104" s="98">
        <v>3.1</v>
      </c>
      <c r="BK104" s="98">
        <v>517000</v>
      </c>
      <c r="BL104" s="98">
        <v>63000</v>
      </c>
      <c r="BM104" s="98">
        <v>8900</v>
      </c>
      <c r="BN104" s="98">
        <v>1400</v>
      </c>
      <c r="BO104" s="99">
        <v>56.2</v>
      </c>
      <c r="BP104" s="98">
        <v>7.6</v>
      </c>
      <c r="BQ104" s="99">
        <v>84</v>
      </c>
      <c r="BR104" s="98">
        <v>11</v>
      </c>
      <c r="BT104" s="95">
        <f t="shared" si="102"/>
        <v>0.1596958174904943</v>
      </c>
      <c r="BU104" s="96">
        <f t="shared" si="103"/>
        <v>6.6400000000000006</v>
      </c>
      <c r="BV104" s="96">
        <f t="shared" si="104"/>
        <v>58.08988764044944</v>
      </c>
      <c r="BW104" s="96">
        <f t="shared" si="105"/>
        <v>0.66904761904761911</v>
      </c>
      <c r="BX104" s="99">
        <f t="shared" si="127"/>
        <v>29.409360096398668</v>
      </c>
      <c r="BY104" s="96">
        <f t="shared" si="106"/>
        <v>6.6400000000000006</v>
      </c>
      <c r="BZ104" s="97">
        <f t="shared" si="107"/>
        <v>3.7514124293785314E-3</v>
      </c>
      <c r="CA104" s="95">
        <f t="shared" si="108"/>
        <v>0.2207032101970279</v>
      </c>
      <c r="CB104" s="99">
        <f t="shared" si="124"/>
        <v>137.46915992209333</v>
      </c>
      <c r="CC104" s="99">
        <f t="shared" si="124"/>
        <v>18.001913799321745</v>
      </c>
      <c r="CD104" s="100">
        <f t="shared" si="110"/>
        <v>660.90144702163991</v>
      </c>
      <c r="CE104" s="100">
        <f t="shared" si="125"/>
        <v>694.04360437595142</v>
      </c>
      <c r="CF104" s="100">
        <f t="shared" si="101"/>
        <v>96.447070356133352</v>
      </c>
      <c r="CG104" s="96">
        <f t="shared" si="128"/>
        <v>0.7893217850653278</v>
      </c>
      <c r="CH104" s="96">
        <f t="shared" si="52"/>
        <v>1.2063571447457495</v>
      </c>
      <c r="CJ104" s="95">
        <f t="shared" si="126"/>
        <v>0.17721518987341775</v>
      </c>
      <c r="CK104" s="93">
        <f t="shared" si="111"/>
        <v>13.562091503267975</v>
      </c>
      <c r="CL104" s="93">
        <f t="shared" si="112"/>
        <v>1.2</v>
      </c>
      <c r="CM104" s="93">
        <f t="shared" si="113"/>
        <v>2.6766595289079227</v>
      </c>
      <c r="CN104" s="93">
        <f t="shared" si="114"/>
        <v>38.562091503267979</v>
      </c>
      <c r="CO104" s="93">
        <f t="shared" si="115"/>
        <v>16.72413793103448</v>
      </c>
      <c r="CP104" s="93">
        <f t="shared" si="116"/>
        <v>148.90510948905111</v>
      </c>
      <c r="CQ104" s="93">
        <f t="shared" si="117"/>
        <v>320.85561497326199</v>
      </c>
      <c r="CR104" s="93">
        <f t="shared" si="118"/>
        <v>649.6062992125984</v>
      </c>
      <c r="CS104" s="93">
        <f t="shared" si="119"/>
        <v>1153.7102473498232</v>
      </c>
      <c r="CT104" s="93">
        <f t="shared" si="120"/>
        <v>1830.8157099697885</v>
      </c>
      <c r="CU104" s="93">
        <f t="shared" si="121"/>
        <v>2360.7843137254904</v>
      </c>
      <c r="CV104" s="93">
        <f t="shared" si="122"/>
        <v>3094.1176470588234</v>
      </c>
      <c r="CW104" s="93">
        <f t="shared" si="123"/>
        <v>3846.4566929133862</v>
      </c>
    </row>
    <row r="105" spans="1:101" s="98" customFormat="1">
      <c r="A105" s="3" t="s">
        <v>339</v>
      </c>
      <c r="B105" s="92" t="s">
        <v>244</v>
      </c>
      <c r="C105" s="3"/>
      <c r="D105" s="93">
        <v>11.236000000000001</v>
      </c>
      <c r="E105" s="94">
        <v>0.18501999999999999</v>
      </c>
      <c r="F105" s="94">
        <v>8.9999999999999998E-4</v>
      </c>
      <c r="G105" s="95">
        <v>13.083</v>
      </c>
      <c r="H105" s="96">
        <v>0.39</v>
      </c>
      <c r="I105" s="97">
        <v>0.51629999999999998</v>
      </c>
      <c r="J105" s="95">
        <v>1.4E-2</v>
      </c>
      <c r="K105" s="96">
        <v>0.67208999999999997</v>
      </c>
      <c r="M105" s="99">
        <v>2683.3</v>
      </c>
      <c r="N105" s="98">
        <v>59</v>
      </c>
      <c r="O105" s="99">
        <v>2697.7</v>
      </c>
      <c r="P105" s="98">
        <v>4.3</v>
      </c>
      <c r="Q105" s="93">
        <v>0.53</v>
      </c>
      <c r="R105" s="97">
        <v>1.14E-3</v>
      </c>
      <c r="T105" s="98">
        <v>280</v>
      </c>
      <c r="U105" s="98">
        <v>210</v>
      </c>
      <c r="V105" s="98">
        <v>0.3</v>
      </c>
      <c r="W105" s="98">
        <v>1.7</v>
      </c>
      <c r="X105" s="98">
        <v>0.2</v>
      </c>
      <c r="Y105" s="98">
        <v>0.19</v>
      </c>
      <c r="Z105" s="98">
        <v>3.65</v>
      </c>
      <c r="AA105" s="98">
        <v>0.77</v>
      </c>
      <c r="AB105" s="98">
        <v>1.46</v>
      </c>
      <c r="AC105" s="98">
        <v>0.63</v>
      </c>
      <c r="AD105" s="98">
        <v>3840</v>
      </c>
      <c r="AE105" s="98">
        <v>500</v>
      </c>
      <c r="AF105" s="95">
        <v>2.3E-2</v>
      </c>
      <c r="AG105" s="97">
        <v>2.1999999999999999E-2</v>
      </c>
      <c r="AH105" s="96">
        <v>8.1</v>
      </c>
      <c r="AI105" s="96">
        <v>1.4</v>
      </c>
      <c r="AJ105" s="95">
        <v>0.20300000000000001</v>
      </c>
      <c r="AK105" s="95">
        <v>7.5999999999999998E-2</v>
      </c>
      <c r="AL105" s="96">
        <v>5</v>
      </c>
      <c r="AM105" s="96">
        <v>1.3</v>
      </c>
      <c r="AN105" s="96">
        <v>13</v>
      </c>
      <c r="AO105" s="96">
        <v>3.2</v>
      </c>
      <c r="AP105" s="96">
        <v>3.4</v>
      </c>
      <c r="AQ105" s="96">
        <v>0.94</v>
      </c>
      <c r="AR105" s="96">
        <v>94</v>
      </c>
      <c r="AS105" s="93">
        <v>14</v>
      </c>
      <c r="AT105" s="96">
        <v>30.1</v>
      </c>
      <c r="AU105" s="96">
        <v>4.2</v>
      </c>
      <c r="AV105" s="99">
        <v>378</v>
      </c>
      <c r="AW105" s="98">
        <v>24</v>
      </c>
      <c r="AX105" s="98">
        <v>142</v>
      </c>
      <c r="AY105" s="98">
        <v>19</v>
      </c>
      <c r="AZ105" s="98">
        <v>662</v>
      </c>
      <c r="BA105" s="98">
        <v>70</v>
      </c>
      <c r="BB105" s="98">
        <v>121</v>
      </c>
      <c r="BC105" s="98">
        <v>16</v>
      </c>
      <c r="BD105" s="98">
        <v>980</v>
      </c>
      <c r="BE105" s="98">
        <v>100</v>
      </c>
      <c r="BF105" s="98">
        <v>193</v>
      </c>
      <c r="BG105" s="98">
        <v>25</v>
      </c>
      <c r="BI105" s="93">
        <v>3.3</v>
      </c>
      <c r="BJ105" s="98">
        <v>3</v>
      </c>
      <c r="BK105" s="98">
        <v>539000</v>
      </c>
      <c r="BL105" s="98">
        <v>79000</v>
      </c>
      <c r="BM105" s="98">
        <v>8480</v>
      </c>
      <c r="BN105" s="98">
        <v>870</v>
      </c>
      <c r="BO105" s="99">
        <v>65.400000000000006</v>
      </c>
      <c r="BP105" s="98">
        <v>7.1</v>
      </c>
      <c r="BQ105" s="99">
        <v>94</v>
      </c>
      <c r="BR105" s="98">
        <v>10</v>
      </c>
      <c r="BT105" s="95">
        <f t="shared" si="102"/>
        <v>9.5918367346938774E-2</v>
      </c>
      <c r="BU105" s="96">
        <f t="shared" si="103"/>
        <v>1.6199999999999999</v>
      </c>
      <c r="BV105" s="96">
        <f t="shared" si="104"/>
        <v>63.561320754716981</v>
      </c>
      <c r="BW105" s="96">
        <f t="shared" si="105"/>
        <v>0.69574468085106389</v>
      </c>
      <c r="BX105" s="99">
        <f t="shared" si="127"/>
        <v>29.064150613283843</v>
      </c>
      <c r="BY105" s="96">
        <f t="shared" si="106"/>
        <v>1.6199999999999999</v>
      </c>
      <c r="BZ105" s="97">
        <f t="shared" si="107"/>
        <v>4.21875E-4</v>
      </c>
      <c r="CA105" s="95">
        <f t="shared" si="108"/>
        <v>0.29734931957591015</v>
      </c>
      <c r="CB105" s="99">
        <f t="shared" si="124"/>
        <v>153.83453610329491</v>
      </c>
      <c r="CC105" s="99">
        <f t="shared" si="124"/>
        <v>16.365376181201587</v>
      </c>
      <c r="CD105" s="100">
        <f t="shared" si="110"/>
        <v>674.05378391487875</v>
      </c>
      <c r="CE105" s="100">
        <f t="shared" si="125"/>
        <v>708.1528956505075</v>
      </c>
      <c r="CF105" s="100">
        <f t="shared" si="101"/>
        <v>81.596951029960479</v>
      </c>
      <c r="CG105" s="96">
        <f t="shared" si="128"/>
        <v>0.50724749204400177</v>
      </c>
      <c r="CH105" s="96">
        <f t="shared" si="52"/>
        <v>0.98865336110801483</v>
      </c>
      <c r="CJ105" s="95">
        <f t="shared" si="126"/>
        <v>9.7046413502109713E-2</v>
      </c>
      <c r="CK105" s="93">
        <f t="shared" si="111"/>
        <v>13.235294117647058</v>
      </c>
      <c r="CL105" s="93">
        <f t="shared" si="112"/>
        <v>2.1368421052631579</v>
      </c>
      <c r="CM105" s="93">
        <f t="shared" si="113"/>
        <v>10.706638115631691</v>
      </c>
      <c r="CN105" s="93">
        <f t="shared" si="114"/>
        <v>84.967320261437905</v>
      </c>
      <c r="CO105" s="93">
        <f t="shared" si="115"/>
        <v>58.620689655172413</v>
      </c>
      <c r="CP105" s="93">
        <f t="shared" si="116"/>
        <v>457.42092457420927</v>
      </c>
      <c r="CQ105" s="93">
        <f t="shared" si="117"/>
        <v>804.81283422459887</v>
      </c>
      <c r="CR105" s="93">
        <f t="shared" si="118"/>
        <v>1488.1889763779527</v>
      </c>
      <c r="CS105" s="93">
        <f t="shared" si="119"/>
        <v>2508.8339222614841</v>
      </c>
      <c r="CT105" s="93">
        <f t="shared" si="120"/>
        <v>4000</v>
      </c>
      <c r="CU105" s="93">
        <f t="shared" si="121"/>
        <v>4745.0980392156862</v>
      </c>
      <c r="CV105" s="93">
        <f t="shared" si="122"/>
        <v>5764.7058823529405</v>
      </c>
      <c r="CW105" s="93">
        <f t="shared" si="123"/>
        <v>7598.4251968503941</v>
      </c>
    </row>
    <row r="106" spans="1:101" s="98" customFormat="1">
      <c r="A106" s="3" t="s">
        <v>340</v>
      </c>
      <c r="B106" s="92" t="s">
        <v>244</v>
      </c>
      <c r="C106" s="3"/>
      <c r="D106" s="93">
        <v>11.106</v>
      </c>
      <c r="E106" s="94">
        <v>0.18589</v>
      </c>
      <c r="F106" s="94">
        <v>9.1E-4</v>
      </c>
      <c r="G106" s="95">
        <v>13.032999999999999</v>
      </c>
      <c r="H106" s="96">
        <v>0.39</v>
      </c>
      <c r="I106" s="97">
        <v>0.51190000000000002</v>
      </c>
      <c r="J106" s="95">
        <v>1.4E-2</v>
      </c>
      <c r="K106" s="96">
        <v>0.75582000000000005</v>
      </c>
      <c r="M106" s="99">
        <v>2665</v>
      </c>
      <c r="N106" s="98">
        <v>59</v>
      </c>
      <c r="O106" s="99">
        <v>2706.1</v>
      </c>
      <c r="P106" s="98">
        <v>4.2</v>
      </c>
      <c r="Q106" s="93">
        <v>1.53</v>
      </c>
      <c r="R106" s="97">
        <v>4.1000000000000003E-3</v>
      </c>
      <c r="T106" s="98">
        <v>370</v>
      </c>
      <c r="U106" s="98">
        <v>190</v>
      </c>
      <c r="V106" s="98" t="s">
        <v>250</v>
      </c>
      <c r="W106" s="98" t="s">
        <v>250</v>
      </c>
      <c r="X106" s="98">
        <v>0.55000000000000004</v>
      </c>
      <c r="Y106" s="98">
        <v>0.31</v>
      </c>
      <c r="Z106" s="98">
        <v>5.9</v>
      </c>
      <c r="AA106" s="98">
        <v>1.2</v>
      </c>
      <c r="AB106" s="98">
        <v>1.63</v>
      </c>
      <c r="AC106" s="98">
        <v>0.72</v>
      </c>
      <c r="AD106" s="98">
        <v>4080</v>
      </c>
      <c r="AE106" s="98">
        <v>410</v>
      </c>
      <c r="AF106" s="95">
        <v>4.3999999999999997E-2</v>
      </c>
      <c r="AG106" s="97">
        <v>2.5999999999999999E-2</v>
      </c>
      <c r="AH106" s="96">
        <v>10.4</v>
      </c>
      <c r="AI106" s="96">
        <v>1.7</v>
      </c>
      <c r="AJ106" s="95">
        <v>0.20499999999999999</v>
      </c>
      <c r="AK106" s="95">
        <v>6.0999999999999999E-2</v>
      </c>
      <c r="AL106" s="96">
        <v>4.7</v>
      </c>
      <c r="AM106" s="96">
        <v>1.3</v>
      </c>
      <c r="AN106" s="96">
        <v>12.7</v>
      </c>
      <c r="AO106" s="96">
        <v>2.4</v>
      </c>
      <c r="AP106" s="96">
        <v>2.5099999999999998</v>
      </c>
      <c r="AQ106" s="96">
        <v>0.57999999999999996</v>
      </c>
      <c r="AR106" s="96">
        <v>92</v>
      </c>
      <c r="AS106" s="93">
        <v>14</v>
      </c>
      <c r="AT106" s="96">
        <v>29.7</v>
      </c>
      <c r="AU106" s="96">
        <v>2.9</v>
      </c>
      <c r="AV106" s="99">
        <v>368</v>
      </c>
      <c r="AW106" s="98">
        <v>32</v>
      </c>
      <c r="AX106" s="98">
        <v>144</v>
      </c>
      <c r="AY106" s="98">
        <v>11</v>
      </c>
      <c r="AZ106" s="98">
        <v>679</v>
      </c>
      <c r="BA106" s="98">
        <v>52</v>
      </c>
      <c r="BB106" s="98">
        <v>123</v>
      </c>
      <c r="BC106" s="98">
        <v>11</v>
      </c>
      <c r="BD106" s="98">
        <v>1017</v>
      </c>
      <c r="BE106" s="98">
        <v>89</v>
      </c>
      <c r="BF106" s="98">
        <v>197</v>
      </c>
      <c r="BG106" s="98">
        <v>17</v>
      </c>
      <c r="BI106" s="93">
        <v>7.7</v>
      </c>
      <c r="BJ106" s="98">
        <v>3.9</v>
      </c>
      <c r="BK106" s="98">
        <v>571000</v>
      </c>
      <c r="BL106" s="98">
        <v>62000</v>
      </c>
      <c r="BM106" s="98">
        <v>8660</v>
      </c>
      <c r="BN106" s="98">
        <v>720</v>
      </c>
      <c r="BO106" s="99">
        <v>94.2</v>
      </c>
      <c r="BP106" s="98">
        <v>7.5</v>
      </c>
      <c r="BQ106" s="99">
        <v>115.9</v>
      </c>
      <c r="BR106" s="98">
        <v>9.1</v>
      </c>
      <c r="BT106" s="95">
        <f t="shared" si="102"/>
        <v>0.11396263520157326</v>
      </c>
      <c r="BU106" s="96">
        <f t="shared" si="103"/>
        <v>2.2127659574468086</v>
      </c>
      <c r="BV106" s="96">
        <f t="shared" si="104"/>
        <v>65.935334872979212</v>
      </c>
      <c r="BW106" s="96">
        <f t="shared" si="105"/>
        <v>0.81276962899050909</v>
      </c>
      <c r="BX106" s="99">
        <f t="shared" si="127"/>
        <v>26.84816597946271</v>
      </c>
      <c r="BY106" s="96">
        <f t="shared" si="106"/>
        <v>2.2127659574468086</v>
      </c>
      <c r="BZ106" s="97">
        <f t="shared" si="107"/>
        <v>5.4234459741343344E-4</v>
      </c>
      <c r="CA106" s="95">
        <f t="shared" si="108"/>
        <v>0.22449236865735611</v>
      </c>
      <c r="CB106" s="99">
        <f t="shared" si="124"/>
        <v>189.67470994012641</v>
      </c>
      <c r="CC106" s="99">
        <f t="shared" si="124"/>
        <v>14.892492324893444</v>
      </c>
      <c r="CD106" s="100">
        <f t="shared" si="110"/>
        <v>748.21992326512395</v>
      </c>
      <c r="CE106" s="100">
        <f t="shared" si="125"/>
        <v>787.9800956125074</v>
      </c>
      <c r="CF106" s="100">
        <f t="shared" si="101"/>
        <v>53.497752405981537</v>
      </c>
      <c r="CG106" s="96">
        <f t="shared" si="128"/>
        <v>2.4785217041631835E-2</v>
      </c>
      <c r="CH106" s="96">
        <f t="shared" si="52"/>
        <v>0.60160514494174178</v>
      </c>
      <c r="CJ106" s="95">
        <f t="shared" si="126"/>
        <v>0.18565400843881857</v>
      </c>
      <c r="CK106" s="93">
        <f t="shared" si="111"/>
        <v>16.993464052287582</v>
      </c>
      <c r="CL106" s="93">
        <f t="shared" si="112"/>
        <v>2.1578947368421053</v>
      </c>
      <c r="CM106" s="93">
        <f t="shared" si="113"/>
        <v>10.06423982869379</v>
      </c>
      <c r="CN106" s="93">
        <f t="shared" si="114"/>
        <v>83.006535947712422</v>
      </c>
      <c r="CO106" s="93">
        <f t="shared" si="115"/>
        <v>43.275862068965509</v>
      </c>
      <c r="CP106" s="93">
        <f t="shared" si="116"/>
        <v>447.68856447688569</v>
      </c>
      <c r="CQ106" s="93">
        <f t="shared" si="117"/>
        <v>794.11764705882342</v>
      </c>
      <c r="CR106" s="93">
        <f t="shared" si="118"/>
        <v>1448.8188976377953</v>
      </c>
      <c r="CS106" s="93">
        <f t="shared" si="119"/>
        <v>2544.1696113074204</v>
      </c>
      <c r="CT106" s="93">
        <f t="shared" si="120"/>
        <v>4102.7190332326281</v>
      </c>
      <c r="CU106" s="93">
        <f t="shared" si="121"/>
        <v>4823.5294117647063</v>
      </c>
      <c r="CV106" s="93">
        <f t="shared" si="122"/>
        <v>5982.3529411764703</v>
      </c>
      <c r="CW106" s="93">
        <f t="shared" si="123"/>
        <v>7755.9055118110236</v>
      </c>
    </row>
    <row r="107" spans="1:101" s="98" customFormat="1">
      <c r="A107" s="3" t="s">
        <v>341</v>
      </c>
      <c r="B107" s="92" t="s">
        <v>244</v>
      </c>
      <c r="C107" s="3"/>
      <c r="D107" s="93">
        <v>11.05</v>
      </c>
      <c r="E107" s="94">
        <v>0.18440000000000001</v>
      </c>
      <c r="F107" s="94">
        <v>2.3999999999999998E-3</v>
      </c>
      <c r="G107" s="95">
        <v>13.11</v>
      </c>
      <c r="H107" s="96">
        <v>0.41</v>
      </c>
      <c r="I107" s="97">
        <v>0.51929999999999998</v>
      </c>
      <c r="J107" s="95">
        <v>1.4E-2</v>
      </c>
      <c r="K107" s="96">
        <v>0.18015</v>
      </c>
      <c r="M107" s="99">
        <v>2696</v>
      </c>
      <c r="N107" s="98">
        <v>60</v>
      </c>
      <c r="O107" s="99">
        <v>2692</v>
      </c>
      <c r="P107" s="98">
        <v>14</v>
      </c>
      <c r="Q107" s="93">
        <v>-0.18</v>
      </c>
      <c r="R107" s="97">
        <v>1.9E-3</v>
      </c>
      <c r="T107" s="98">
        <v>130</v>
      </c>
      <c r="U107" s="98">
        <v>110</v>
      </c>
      <c r="V107" s="98" t="s">
        <v>250</v>
      </c>
      <c r="W107" s="98" t="s">
        <v>250</v>
      </c>
      <c r="X107" s="98">
        <v>0.28000000000000003</v>
      </c>
      <c r="Y107" s="98">
        <v>0.23</v>
      </c>
      <c r="Z107" s="98">
        <v>2.52</v>
      </c>
      <c r="AA107" s="98">
        <v>0.68</v>
      </c>
      <c r="AB107" s="98">
        <v>1.42</v>
      </c>
      <c r="AC107" s="98">
        <v>0.6</v>
      </c>
      <c r="AD107" s="98">
        <v>930</v>
      </c>
      <c r="AE107" s="98">
        <v>100</v>
      </c>
      <c r="AF107" s="95">
        <v>0.224</v>
      </c>
      <c r="AG107" s="97">
        <v>9.5000000000000001E-2</v>
      </c>
      <c r="AH107" s="96">
        <v>4.67</v>
      </c>
      <c r="AI107" s="96">
        <v>0.86</v>
      </c>
      <c r="AJ107" s="95">
        <v>6.5000000000000002E-2</v>
      </c>
      <c r="AK107" s="95">
        <v>3.2000000000000001E-2</v>
      </c>
      <c r="AL107" s="96">
        <v>0.72</v>
      </c>
      <c r="AM107" s="96">
        <v>0.45</v>
      </c>
      <c r="AN107" s="96">
        <v>1.89</v>
      </c>
      <c r="AO107" s="96">
        <v>0.89</v>
      </c>
      <c r="AP107" s="96">
        <v>0.6</v>
      </c>
      <c r="AQ107" s="96">
        <v>0.23</v>
      </c>
      <c r="AR107" s="96">
        <v>14.5</v>
      </c>
      <c r="AS107" s="93">
        <v>2.6</v>
      </c>
      <c r="AT107" s="96">
        <v>5.72</v>
      </c>
      <c r="AU107" s="96">
        <v>0.86</v>
      </c>
      <c r="AV107" s="99">
        <v>84</v>
      </c>
      <c r="AW107" s="98">
        <v>11</v>
      </c>
      <c r="AX107" s="98">
        <v>32</v>
      </c>
      <c r="AY107" s="98">
        <v>2.5</v>
      </c>
      <c r="AZ107" s="98">
        <v>152</v>
      </c>
      <c r="BA107" s="98">
        <v>13</v>
      </c>
      <c r="BB107" s="98">
        <v>35</v>
      </c>
      <c r="BC107" s="98">
        <v>3.5</v>
      </c>
      <c r="BD107" s="98">
        <v>283</v>
      </c>
      <c r="BE107" s="98">
        <v>24</v>
      </c>
      <c r="BF107" s="98">
        <v>58.6</v>
      </c>
      <c r="BG107" s="98">
        <v>6.1</v>
      </c>
      <c r="BI107" s="93">
        <v>5.7</v>
      </c>
      <c r="BJ107" s="98">
        <v>3.5</v>
      </c>
      <c r="BK107" s="98">
        <v>531000</v>
      </c>
      <c r="BL107" s="98">
        <v>60000</v>
      </c>
      <c r="BM107" s="98">
        <v>9210</v>
      </c>
      <c r="BN107" s="98">
        <v>890</v>
      </c>
      <c r="BO107" s="99">
        <v>16.399999999999999</v>
      </c>
      <c r="BP107" s="98">
        <v>1.8</v>
      </c>
      <c r="BQ107" s="99">
        <v>33.799999999999997</v>
      </c>
      <c r="BR107" s="98">
        <v>3</v>
      </c>
      <c r="BT107" s="95">
        <f t="shared" si="102"/>
        <v>0.11943462897526501</v>
      </c>
      <c r="BU107" s="96">
        <f t="shared" si="103"/>
        <v>6.4861111111111116</v>
      </c>
      <c r="BV107" s="96">
        <f t="shared" si="104"/>
        <v>57.65472312703583</v>
      </c>
      <c r="BW107" s="96">
        <f t="shared" si="105"/>
        <v>0.48520710059171596</v>
      </c>
      <c r="BX107" s="99">
        <f t="shared" si="127"/>
        <v>9.4890065535942796</v>
      </c>
      <c r="BY107" s="96">
        <f t="shared" si="106"/>
        <v>6.4861111111111116</v>
      </c>
      <c r="BZ107" s="97">
        <f t="shared" si="107"/>
        <v>6.9743130227001198E-3</v>
      </c>
      <c r="CA107" s="95">
        <f t="shared" si="108"/>
        <v>0.35039667963332555</v>
      </c>
      <c r="CB107" s="99">
        <f t="shared" si="124"/>
        <v>55.31497149246136</v>
      </c>
      <c r="CC107" s="99">
        <f t="shared" si="124"/>
        <v>4.9096128543604767</v>
      </c>
      <c r="CD107" s="100">
        <f t="shared" si="110"/>
        <v>720.60046733787181</v>
      </c>
      <c r="CE107" s="100">
        <f t="shared" si="125"/>
        <v>758.19977835130214</v>
      </c>
      <c r="CF107" s="100">
        <f t="shared" si="101"/>
        <v>61.050983725931651</v>
      </c>
      <c r="CG107" s="96">
        <f t="shared" si="128"/>
        <v>-3.436715595578077E-2</v>
      </c>
      <c r="CH107" s="96">
        <f t="shared" si="52"/>
        <v>0.71829083256787873</v>
      </c>
      <c r="CJ107" s="95">
        <f t="shared" si="126"/>
        <v>0.94514767932489463</v>
      </c>
      <c r="CK107" s="93">
        <f t="shared" si="111"/>
        <v>7.6307189542483664</v>
      </c>
      <c r="CL107" s="93">
        <f t="shared" si="112"/>
        <v>0.68421052631578949</v>
      </c>
      <c r="CM107" s="93">
        <f t="shared" si="113"/>
        <v>1.5417558886509635</v>
      </c>
      <c r="CN107" s="93">
        <f t="shared" si="114"/>
        <v>12.352941176470587</v>
      </c>
      <c r="CO107" s="93">
        <f t="shared" si="115"/>
        <v>10.344827586206895</v>
      </c>
      <c r="CP107" s="93">
        <f t="shared" si="116"/>
        <v>70.559610705596114</v>
      </c>
      <c r="CQ107" s="93">
        <f t="shared" si="117"/>
        <v>152.9411764705882</v>
      </c>
      <c r="CR107" s="93">
        <f t="shared" si="118"/>
        <v>330.70866141732284</v>
      </c>
      <c r="CS107" s="93">
        <f t="shared" si="119"/>
        <v>565.37102473498237</v>
      </c>
      <c r="CT107" s="93">
        <f t="shared" si="120"/>
        <v>918.42900302114799</v>
      </c>
      <c r="CU107" s="93">
        <f t="shared" si="121"/>
        <v>1372.5490196078433</v>
      </c>
      <c r="CV107" s="93">
        <f t="shared" si="122"/>
        <v>1664.705882352941</v>
      </c>
      <c r="CW107" s="93">
        <f t="shared" si="123"/>
        <v>2307.0866141732286</v>
      </c>
    </row>
    <row r="108" spans="1:101" s="98" customFormat="1">
      <c r="A108" s="3" t="s">
        <v>342</v>
      </c>
      <c r="B108" s="92" t="s">
        <v>244</v>
      </c>
      <c r="C108" s="3"/>
      <c r="D108" s="93">
        <v>11.032999999999999</v>
      </c>
      <c r="E108" s="94">
        <v>0.185</v>
      </c>
      <c r="F108" s="94">
        <v>1.9E-3</v>
      </c>
      <c r="G108" s="95">
        <v>12.95</v>
      </c>
      <c r="H108" s="96">
        <v>0.4</v>
      </c>
      <c r="I108" s="97">
        <v>0.50939999999999996</v>
      </c>
      <c r="J108" s="95">
        <v>1.4E-2</v>
      </c>
      <c r="K108" s="96">
        <v>0.24664</v>
      </c>
      <c r="M108" s="99">
        <v>2654</v>
      </c>
      <c r="N108" s="98">
        <v>60</v>
      </c>
      <c r="O108" s="99">
        <v>2704</v>
      </c>
      <c r="P108" s="98">
        <v>11</v>
      </c>
      <c r="Q108" s="93">
        <v>1.82</v>
      </c>
      <c r="R108" s="97">
        <v>5.0000000000000001E-3</v>
      </c>
      <c r="T108" s="98">
        <v>130</v>
      </c>
      <c r="U108" s="98">
        <v>190</v>
      </c>
      <c r="V108" s="98" t="s">
        <v>250</v>
      </c>
      <c r="W108" s="98" t="s">
        <v>250</v>
      </c>
      <c r="X108" s="98">
        <v>0.16</v>
      </c>
      <c r="Y108" s="98">
        <v>0.17</v>
      </c>
      <c r="Z108" s="98">
        <v>2.5</v>
      </c>
      <c r="AA108" s="98">
        <v>1.1000000000000001</v>
      </c>
      <c r="AB108" s="98">
        <v>1</v>
      </c>
      <c r="AC108" s="98">
        <v>0.51</v>
      </c>
      <c r="AD108" s="98">
        <v>1730</v>
      </c>
      <c r="AE108" s="98">
        <v>210</v>
      </c>
      <c r="AF108" s="95" t="s">
        <v>250</v>
      </c>
      <c r="AG108" s="97" t="s">
        <v>250</v>
      </c>
      <c r="AH108" s="96">
        <v>3.63</v>
      </c>
      <c r="AI108" s="96">
        <v>0.94</v>
      </c>
      <c r="AJ108" s="95">
        <v>8.1000000000000003E-2</v>
      </c>
      <c r="AK108" s="95">
        <v>4.9000000000000002E-2</v>
      </c>
      <c r="AL108" s="96">
        <v>2.4900000000000002</v>
      </c>
      <c r="AM108" s="96">
        <v>0.85</v>
      </c>
      <c r="AN108" s="96">
        <v>7.3</v>
      </c>
      <c r="AO108" s="96">
        <v>1.2</v>
      </c>
      <c r="AP108" s="96">
        <v>1.38</v>
      </c>
      <c r="AQ108" s="96">
        <v>0.48</v>
      </c>
      <c r="AR108" s="96">
        <v>39.4</v>
      </c>
      <c r="AS108" s="93">
        <v>5.5</v>
      </c>
      <c r="AT108" s="96">
        <v>13.1</v>
      </c>
      <c r="AU108" s="96">
        <v>2</v>
      </c>
      <c r="AV108" s="99">
        <v>166</v>
      </c>
      <c r="AW108" s="98">
        <v>21</v>
      </c>
      <c r="AX108" s="98">
        <v>61.3</v>
      </c>
      <c r="AY108" s="98">
        <v>6.4</v>
      </c>
      <c r="AZ108" s="98">
        <v>295</v>
      </c>
      <c r="BA108" s="98">
        <v>34</v>
      </c>
      <c r="BB108" s="98">
        <v>51.9</v>
      </c>
      <c r="BC108" s="98">
        <v>4.5999999999999996</v>
      </c>
      <c r="BD108" s="98">
        <v>484</v>
      </c>
      <c r="BE108" s="98">
        <v>56</v>
      </c>
      <c r="BF108" s="98">
        <v>94</v>
      </c>
      <c r="BG108" s="98">
        <v>11</v>
      </c>
      <c r="BI108" s="93">
        <v>6.1</v>
      </c>
      <c r="BJ108" s="98">
        <v>3.3</v>
      </c>
      <c r="BK108" s="98">
        <v>590000</v>
      </c>
      <c r="BL108" s="98">
        <v>100000</v>
      </c>
      <c r="BM108" s="98">
        <v>9100</v>
      </c>
      <c r="BN108" s="98">
        <v>1100</v>
      </c>
      <c r="BO108" s="99">
        <v>19.600000000000001</v>
      </c>
      <c r="BP108" s="98">
        <v>2.2000000000000002</v>
      </c>
      <c r="BQ108" s="99">
        <v>36.6</v>
      </c>
      <c r="BR108" s="98">
        <v>4.0999999999999996</v>
      </c>
      <c r="BT108" s="95">
        <f t="shared" si="102"/>
        <v>7.5619834710743808E-2</v>
      </c>
      <c r="BU108" s="96">
        <f t="shared" si="103"/>
        <v>1.4578313253012047</v>
      </c>
      <c r="BV108" s="96">
        <f t="shared" si="104"/>
        <v>64.835164835164832</v>
      </c>
      <c r="BW108" s="96">
        <f t="shared" si="105"/>
        <v>0.53551912568306015</v>
      </c>
      <c r="BX108" s="99"/>
      <c r="BY108" s="96">
        <f t="shared" si="106"/>
        <v>1.4578313253012047</v>
      </c>
      <c r="BZ108" s="97">
        <f t="shared" si="107"/>
        <v>8.4267706664809526E-4</v>
      </c>
      <c r="CA108" s="95">
        <f t="shared" si="108"/>
        <v>0.24876723573869128</v>
      </c>
      <c r="CB108" s="99">
        <f t="shared" si="124"/>
        <v>59.897276823197814</v>
      </c>
      <c r="CC108" s="99">
        <f t="shared" si="124"/>
        <v>6.7098042342926503</v>
      </c>
      <c r="CD108" s="100">
        <f t="shared" si="110"/>
        <v>726.69764230371038</v>
      </c>
      <c r="CE108" s="100">
        <f t="shared" si="125"/>
        <v>764.76858917757352</v>
      </c>
      <c r="CF108" s="100">
        <f t="shared" si="101"/>
        <v>54.686806269422476</v>
      </c>
      <c r="CG108" s="96">
        <f t="shared" si="128"/>
        <v>-0.59863270760826692</v>
      </c>
      <c r="CH108" s="96">
        <f t="shared" si="52"/>
        <v>0.75254270931860134</v>
      </c>
      <c r="CJ108" s="95"/>
      <c r="CK108" s="93">
        <f t="shared" si="111"/>
        <v>5.9313725490196081</v>
      </c>
      <c r="CL108" s="93">
        <f t="shared" si="112"/>
        <v>0.85263157894736841</v>
      </c>
      <c r="CM108" s="93">
        <f t="shared" si="113"/>
        <v>5.3319057815845827</v>
      </c>
      <c r="CN108" s="93">
        <f t="shared" si="114"/>
        <v>47.712418300653596</v>
      </c>
      <c r="CO108" s="93">
        <f t="shared" si="115"/>
        <v>23.793103448275858</v>
      </c>
      <c r="CP108" s="93">
        <f t="shared" si="116"/>
        <v>191.72749391727496</v>
      </c>
      <c r="CQ108" s="93">
        <f t="shared" si="117"/>
        <v>350.26737967914437</v>
      </c>
      <c r="CR108" s="93">
        <f t="shared" si="118"/>
        <v>653.54330708661416</v>
      </c>
      <c r="CS108" s="93">
        <f t="shared" si="119"/>
        <v>1083.0388692579506</v>
      </c>
      <c r="CT108" s="93">
        <f t="shared" si="120"/>
        <v>1782.4773413897281</v>
      </c>
      <c r="CU108" s="93">
        <f t="shared" si="121"/>
        <v>2035.294117647059</v>
      </c>
      <c r="CV108" s="93">
        <f t="shared" si="122"/>
        <v>2847.0588235294117</v>
      </c>
      <c r="CW108" s="93">
        <f t="shared" si="123"/>
        <v>3700.7874015748034</v>
      </c>
    </row>
    <row r="109" spans="1:101" s="98" customFormat="1">
      <c r="A109" s="3" t="s">
        <v>343</v>
      </c>
      <c r="B109" s="3" t="s">
        <v>268</v>
      </c>
      <c r="C109" s="3"/>
      <c r="D109" s="93">
        <v>7.0430000000000001</v>
      </c>
      <c r="E109" s="94">
        <v>0.1857</v>
      </c>
      <c r="F109" s="94">
        <v>2.5000000000000001E-3</v>
      </c>
      <c r="G109" s="95">
        <v>13.26</v>
      </c>
      <c r="H109" s="96">
        <v>0.38</v>
      </c>
      <c r="I109" s="97">
        <v>0.51870000000000005</v>
      </c>
      <c r="J109" s="95">
        <v>1.2E-2</v>
      </c>
      <c r="K109" s="96">
        <v>0.67817000000000005</v>
      </c>
      <c r="M109" s="99">
        <v>2693</v>
      </c>
      <c r="N109" s="98">
        <v>51</v>
      </c>
      <c r="O109" s="99">
        <v>2707</v>
      </c>
      <c r="P109" s="98">
        <v>13</v>
      </c>
      <c r="Q109" s="93">
        <v>0.48</v>
      </c>
      <c r="R109" s="97">
        <v>2.8999999999999998E-3</v>
      </c>
      <c r="T109" s="98">
        <v>260</v>
      </c>
      <c r="U109" s="98">
        <v>180</v>
      </c>
      <c r="V109" s="98">
        <v>0.9</v>
      </c>
      <c r="W109" s="98">
        <v>1.3</v>
      </c>
      <c r="X109" s="98">
        <v>0.09</v>
      </c>
      <c r="Y109" s="98">
        <v>0.12</v>
      </c>
      <c r="Z109" s="98">
        <v>2.44</v>
      </c>
      <c r="AA109" s="98">
        <v>0.56999999999999995</v>
      </c>
      <c r="AB109" s="98">
        <v>0.79</v>
      </c>
      <c r="AC109" s="98">
        <v>0.33</v>
      </c>
      <c r="AD109" s="98">
        <v>802</v>
      </c>
      <c r="AE109" s="98">
        <v>49</v>
      </c>
      <c r="AF109" s="95" t="s">
        <v>250</v>
      </c>
      <c r="AG109" s="97" t="s">
        <v>250</v>
      </c>
      <c r="AH109" s="96">
        <v>3.42</v>
      </c>
      <c r="AI109" s="96">
        <v>0.79</v>
      </c>
      <c r="AJ109" s="95">
        <v>3.1E-2</v>
      </c>
      <c r="AK109" s="95">
        <v>0.02</v>
      </c>
      <c r="AL109" s="96">
        <v>0.42</v>
      </c>
      <c r="AM109" s="96">
        <v>0.38</v>
      </c>
      <c r="AN109" s="96">
        <v>2.33</v>
      </c>
      <c r="AO109" s="96">
        <v>0.74</v>
      </c>
      <c r="AP109" s="96">
        <v>0.26</v>
      </c>
      <c r="AQ109" s="96">
        <v>0.13</v>
      </c>
      <c r="AR109" s="96">
        <v>13.5</v>
      </c>
      <c r="AS109" s="93">
        <v>2.4</v>
      </c>
      <c r="AT109" s="96">
        <v>5.62</v>
      </c>
      <c r="AU109" s="96">
        <v>0.59</v>
      </c>
      <c r="AV109" s="99">
        <v>63.3</v>
      </c>
      <c r="AW109" s="98">
        <v>8.4</v>
      </c>
      <c r="AX109" s="98">
        <v>28.1</v>
      </c>
      <c r="AY109" s="98">
        <v>3</v>
      </c>
      <c r="AZ109" s="98">
        <v>136</v>
      </c>
      <c r="BA109" s="98">
        <v>14</v>
      </c>
      <c r="BB109" s="98">
        <v>29.7</v>
      </c>
      <c r="BC109" s="98">
        <v>3.2</v>
      </c>
      <c r="BD109" s="98">
        <v>250</v>
      </c>
      <c r="BE109" s="98">
        <v>34</v>
      </c>
      <c r="BF109" s="98">
        <v>50.4</v>
      </c>
      <c r="BG109" s="98">
        <v>5</v>
      </c>
      <c r="BI109" s="93">
        <v>4.5</v>
      </c>
      <c r="BJ109" s="98">
        <v>3.7</v>
      </c>
      <c r="BK109" s="98">
        <v>516000</v>
      </c>
      <c r="BL109" s="98">
        <v>39000</v>
      </c>
      <c r="BM109" s="98">
        <v>8270</v>
      </c>
      <c r="BN109" s="98">
        <v>950</v>
      </c>
      <c r="BO109" s="99">
        <v>13.75</v>
      </c>
      <c r="BP109" s="98">
        <v>0.95</v>
      </c>
      <c r="BQ109" s="99">
        <v>30.6</v>
      </c>
      <c r="BR109" s="98">
        <v>2.2000000000000002</v>
      </c>
      <c r="BT109" s="95">
        <f t="shared" si="102"/>
        <v>0.12240000000000001</v>
      </c>
      <c r="BU109" s="96">
        <f t="shared" si="103"/>
        <v>8.1428571428571423</v>
      </c>
      <c r="BV109" s="96">
        <f t="shared" si="104"/>
        <v>62.394195888754531</v>
      </c>
      <c r="BW109" s="96">
        <f t="shared" si="105"/>
        <v>0.44934640522875813</v>
      </c>
      <c r="BX109" s="99"/>
      <c r="BY109" s="96">
        <f t="shared" si="106"/>
        <v>8.1428571428571423</v>
      </c>
      <c r="BZ109" s="97">
        <f t="shared" si="107"/>
        <v>1.0153188457427858E-2</v>
      </c>
      <c r="CA109" s="95">
        <f t="shared" si="108"/>
        <v>0.14172685114072006</v>
      </c>
      <c r="CB109" s="99">
        <f t="shared" si="124"/>
        <v>50.078051114476857</v>
      </c>
      <c r="CC109" s="99">
        <f t="shared" si="124"/>
        <v>3.6003827598643494</v>
      </c>
      <c r="CD109" s="100">
        <f t="shared" si="110"/>
        <v>699.91855402232056</v>
      </c>
      <c r="CE109" s="100">
        <f t="shared" si="125"/>
        <v>735.94075342292217</v>
      </c>
      <c r="CF109" s="100">
        <f t="shared" si="101"/>
        <v>77.90044538854886</v>
      </c>
      <c r="CG109" s="96">
        <f t="shared" si="128"/>
        <v>-0.28319140294261036</v>
      </c>
      <c r="CH109" s="96">
        <f t="shared" si="52"/>
        <v>0.93478687587624421</v>
      </c>
      <c r="CJ109" s="95"/>
      <c r="CK109" s="93">
        <f t="shared" si="111"/>
        <v>5.5882352941176467</v>
      </c>
      <c r="CL109" s="93">
        <f t="shared" si="112"/>
        <v>0.32631578947368423</v>
      </c>
      <c r="CM109" s="93">
        <f t="shared" si="113"/>
        <v>0.899357601713062</v>
      </c>
      <c r="CN109" s="93">
        <f t="shared" si="114"/>
        <v>15.228758169934641</v>
      </c>
      <c r="CO109" s="93">
        <f t="shared" si="115"/>
        <v>4.4827586206896548</v>
      </c>
      <c r="CP109" s="93">
        <f t="shared" si="116"/>
        <v>65.693430656934311</v>
      </c>
      <c r="CQ109" s="93">
        <f t="shared" si="117"/>
        <v>150.26737967914437</v>
      </c>
      <c r="CR109" s="93">
        <f t="shared" si="118"/>
        <v>249.21259842519683</v>
      </c>
      <c r="CS109" s="93">
        <f t="shared" si="119"/>
        <v>496.46643109540639</v>
      </c>
      <c r="CT109" s="93">
        <f t="shared" si="120"/>
        <v>821.75226586102713</v>
      </c>
      <c r="CU109" s="93">
        <f t="shared" si="121"/>
        <v>1164.7058823529412</v>
      </c>
      <c r="CV109" s="93">
        <f t="shared" si="122"/>
        <v>1470.5882352941176</v>
      </c>
      <c r="CW109" s="93">
        <f t="shared" si="123"/>
        <v>1984.251968503937</v>
      </c>
    </row>
    <row r="110" spans="1:101" s="98" customFormat="1">
      <c r="A110" s="3" t="s">
        <v>344</v>
      </c>
      <c r="B110" s="3" t="s">
        <v>268</v>
      </c>
      <c r="C110" s="3"/>
      <c r="D110" s="93">
        <v>7.149</v>
      </c>
      <c r="E110" s="94">
        <v>0.1852</v>
      </c>
      <c r="F110" s="94">
        <v>1.5E-3</v>
      </c>
      <c r="G110" s="95">
        <v>13.34</v>
      </c>
      <c r="H110" s="96">
        <v>0.35</v>
      </c>
      <c r="I110" s="97">
        <v>0.52359999999999995</v>
      </c>
      <c r="J110" s="95">
        <v>1.2E-2</v>
      </c>
      <c r="K110" s="96">
        <v>0.69101000000000001</v>
      </c>
      <c r="M110" s="99">
        <v>2715</v>
      </c>
      <c r="N110" s="98">
        <v>50</v>
      </c>
      <c r="O110" s="99">
        <v>2701.2</v>
      </c>
      <c r="P110" s="98">
        <v>5.9</v>
      </c>
      <c r="Q110" s="93">
        <v>-0.4</v>
      </c>
      <c r="R110" s="97">
        <v>1.1999999999999999E-3</v>
      </c>
      <c r="T110" s="98">
        <v>340</v>
      </c>
      <c r="U110" s="98">
        <v>170</v>
      </c>
      <c r="V110" s="98" t="s">
        <v>250</v>
      </c>
      <c r="W110" s="98" t="s">
        <v>250</v>
      </c>
      <c r="X110" s="98">
        <v>0.16</v>
      </c>
      <c r="Y110" s="98">
        <v>0.14000000000000001</v>
      </c>
      <c r="Z110" s="98">
        <v>4.16</v>
      </c>
      <c r="AA110" s="98">
        <v>0.77</v>
      </c>
      <c r="AB110" s="98">
        <v>1.61</v>
      </c>
      <c r="AC110" s="98">
        <v>0.81</v>
      </c>
      <c r="AD110" s="98">
        <v>2070</v>
      </c>
      <c r="AE110" s="98">
        <v>190</v>
      </c>
      <c r="AF110" s="95">
        <v>5.1000000000000004E-3</v>
      </c>
      <c r="AG110" s="97">
        <v>7.7000000000000002E-3</v>
      </c>
      <c r="AH110" s="96">
        <v>5.2</v>
      </c>
      <c r="AI110" s="96">
        <v>0.62</v>
      </c>
      <c r="AJ110" s="95">
        <v>0.12</v>
      </c>
      <c r="AK110" s="95">
        <v>4.9000000000000002E-2</v>
      </c>
      <c r="AL110" s="96">
        <v>1.97</v>
      </c>
      <c r="AM110" s="96">
        <v>0.66</v>
      </c>
      <c r="AN110" s="96">
        <v>5.4</v>
      </c>
      <c r="AO110" s="96">
        <v>1.5</v>
      </c>
      <c r="AP110" s="96">
        <v>1.25</v>
      </c>
      <c r="AQ110" s="96">
        <v>0.36</v>
      </c>
      <c r="AR110" s="96">
        <v>42.2</v>
      </c>
      <c r="AS110" s="93">
        <v>7.7</v>
      </c>
      <c r="AT110" s="96">
        <v>14.8</v>
      </c>
      <c r="AU110" s="96">
        <v>1.8</v>
      </c>
      <c r="AV110" s="99">
        <v>180</v>
      </c>
      <c r="AW110" s="98">
        <v>16</v>
      </c>
      <c r="AX110" s="98">
        <v>72.8</v>
      </c>
      <c r="AY110" s="98">
        <v>9.5</v>
      </c>
      <c r="AZ110" s="98">
        <v>332</v>
      </c>
      <c r="BA110" s="98">
        <v>29</v>
      </c>
      <c r="BB110" s="98">
        <v>63.7</v>
      </c>
      <c r="BC110" s="98">
        <v>6.7</v>
      </c>
      <c r="BD110" s="98">
        <v>581</v>
      </c>
      <c r="BE110" s="98">
        <v>52</v>
      </c>
      <c r="BF110" s="98">
        <v>106.7</v>
      </c>
      <c r="BG110" s="98">
        <v>9.6999999999999993</v>
      </c>
      <c r="BI110" s="93">
        <v>5.9</v>
      </c>
      <c r="BJ110" s="98">
        <v>1.7</v>
      </c>
      <c r="BK110" s="98">
        <v>493000</v>
      </c>
      <c r="BL110" s="98">
        <v>37000</v>
      </c>
      <c r="BM110" s="98">
        <v>7670</v>
      </c>
      <c r="BN110" s="98">
        <v>700</v>
      </c>
      <c r="BO110" s="99">
        <v>41.7</v>
      </c>
      <c r="BP110" s="98">
        <v>2.5</v>
      </c>
      <c r="BQ110" s="99">
        <v>65.5</v>
      </c>
      <c r="BR110" s="98">
        <v>3.9</v>
      </c>
      <c r="BT110" s="95">
        <f t="shared" si="102"/>
        <v>0.11273666092943202</v>
      </c>
      <c r="BU110" s="96">
        <f t="shared" si="103"/>
        <v>2.6395939086294415</v>
      </c>
      <c r="BV110" s="96">
        <f t="shared" si="104"/>
        <v>64.276401564537153</v>
      </c>
      <c r="BW110" s="96">
        <f t="shared" si="105"/>
        <v>0.63664122137404588</v>
      </c>
      <c r="BX110" s="99">
        <f>CK110/SQRT(CJ110*CL110)</f>
        <v>51.536175458734718</v>
      </c>
      <c r="BY110" s="96">
        <f t="shared" si="106"/>
        <v>2.6395939086294415</v>
      </c>
      <c r="BZ110" s="97">
        <f t="shared" si="107"/>
        <v>1.2751661394345129E-3</v>
      </c>
      <c r="CA110" s="95">
        <f t="shared" si="108"/>
        <v>0.25315152186447365</v>
      </c>
      <c r="CB110" s="99">
        <f t="shared" si="124"/>
        <v>107.1932139868704</v>
      </c>
      <c r="CC110" s="99">
        <f t="shared" si="124"/>
        <v>6.3824967106686188</v>
      </c>
      <c r="CD110" s="100">
        <f t="shared" si="110"/>
        <v>723.69141416200569</v>
      </c>
      <c r="CE110" s="100">
        <f t="shared" si="125"/>
        <v>761.52943853971772</v>
      </c>
      <c r="CF110" s="100">
        <f t="shared" si="101"/>
        <v>30.476010224007688</v>
      </c>
      <c r="CG110" s="96">
        <f t="shared" si="128"/>
        <v>-0.45118017090086271</v>
      </c>
      <c r="CH110" s="96">
        <f t="shared" si="52"/>
        <v>0.3388087352173047</v>
      </c>
      <c r="CJ110" s="95">
        <f>AF110/CJ$4</f>
        <v>2.1518987341772156E-2</v>
      </c>
      <c r="CK110" s="93">
        <f t="shared" si="111"/>
        <v>8.4967320261437909</v>
      </c>
      <c r="CL110" s="93">
        <f t="shared" si="112"/>
        <v>1.263157894736842</v>
      </c>
      <c r="CM110" s="93">
        <f t="shared" si="113"/>
        <v>4.2184154175588864</v>
      </c>
      <c r="CN110" s="93">
        <f t="shared" si="114"/>
        <v>35.294117647058826</v>
      </c>
      <c r="CO110" s="93">
        <f t="shared" si="115"/>
        <v>21.551724137931032</v>
      </c>
      <c r="CP110" s="93">
        <f t="shared" si="116"/>
        <v>205.35279805352801</v>
      </c>
      <c r="CQ110" s="93">
        <f t="shared" si="117"/>
        <v>395.72192513368981</v>
      </c>
      <c r="CR110" s="93">
        <f t="shared" si="118"/>
        <v>708.66141732283461</v>
      </c>
      <c r="CS110" s="93">
        <f t="shared" si="119"/>
        <v>1286.2190812720848</v>
      </c>
      <c r="CT110" s="93">
        <f t="shared" si="120"/>
        <v>2006.0422960725075</v>
      </c>
      <c r="CU110" s="93">
        <f t="shared" si="121"/>
        <v>2498.0392156862749</v>
      </c>
      <c r="CV110" s="93">
        <f t="shared" si="122"/>
        <v>3417.6470588235293</v>
      </c>
      <c r="CW110" s="93">
        <f t="shared" si="123"/>
        <v>4200.7874015748039</v>
      </c>
    </row>
    <row r="111" spans="1:101" s="98" customFormat="1">
      <c r="A111" s="3" t="s">
        <v>345</v>
      </c>
      <c r="B111" s="3" t="s">
        <v>268</v>
      </c>
      <c r="C111" s="3"/>
      <c r="D111" s="93">
        <v>7.0039999999999996</v>
      </c>
      <c r="E111" s="94">
        <v>0.18529999999999999</v>
      </c>
      <c r="F111" s="94">
        <v>1.1000000000000001E-3</v>
      </c>
      <c r="G111" s="95">
        <v>13.46</v>
      </c>
      <c r="H111" s="96">
        <v>0.33</v>
      </c>
      <c r="I111" s="97">
        <v>0.52780000000000005</v>
      </c>
      <c r="J111" s="95">
        <v>1.2E-2</v>
      </c>
      <c r="K111" s="96">
        <v>0.58089999999999997</v>
      </c>
      <c r="M111" s="99">
        <v>2732</v>
      </c>
      <c r="N111" s="98">
        <v>49</v>
      </c>
      <c r="O111" s="99">
        <v>2700.6</v>
      </c>
      <c r="P111" s="98">
        <v>4.8</v>
      </c>
      <c r="Q111" s="93">
        <v>-1.17</v>
      </c>
      <c r="R111" s="97">
        <v>1.1E-4</v>
      </c>
      <c r="T111" s="98">
        <v>190</v>
      </c>
      <c r="U111" s="98">
        <v>110</v>
      </c>
      <c r="V111" s="98" t="s">
        <v>250</v>
      </c>
      <c r="W111" s="98" t="s">
        <v>250</v>
      </c>
      <c r="X111" s="98">
        <v>0.39</v>
      </c>
      <c r="Y111" s="98">
        <v>0.26</v>
      </c>
      <c r="Z111" s="98">
        <v>3.95</v>
      </c>
      <c r="AA111" s="98">
        <v>0.91</v>
      </c>
      <c r="AB111" s="98">
        <v>1.74</v>
      </c>
      <c r="AC111" s="98">
        <v>0.57999999999999996</v>
      </c>
      <c r="AD111" s="98">
        <v>3190</v>
      </c>
      <c r="AE111" s="98">
        <v>260</v>
      </c>
      <c r="AF111" s="95">
        <v>0.311</v>
      </c>
      <c r="AG111" s="97">
        <v>7.6999999999999999E-2</v>
      </c>
      <c r="AH111" s="96">
        <v>6.16</v>
      </c>
      <c r="AI111" s="96">
        <v>0.7</v>
      </c>
      <c r="AJ111" s="95">
        <v>0.20100000000000001</v>
      </c>
      <c r="AK111" s="95">
        <v>8.7999999999999995E-2</v>
      </c>
      <c r="AL111" s="96">
        <v>4.5999999999999996</v>
      </c>
      <c r="AM111" s="96">
        <v>1.1000000000000001</v>
      </c>
      <c r="AN111" s="96">
        <v>9.1999999999999993</v>
      </c>
      <c r="AO111" s="96">
        <v>1.6</v>
      </c>
      <c r="AP111" s="96">
        <v>2.48</v>
      </c>
      <c r="AQ111" s="96">
        <v>0.41</v>
      </c>
      <c r="AR111" s="96">
        <v>76.599999999999994</v>
      </c>
      <c r="AS111" s="93">
        <v>7.4</v>
      </c>
      <c r="AT111" s="96">
        <v>25.4</v>
      </c>
      <c r="AU111" s="96">
        <v>2.2999999999999998</v>
      </c>
      <c r="AV111" s="99">
        <v>331</v>
      </c>
      <c r="AW111" s="98">
        <v>28</v>
      </c>
      <c r="AX111" s="98">
        <v>118</v>
      </c>
      <c r="AY111" s="98">
        <v>12</v>
      </c>
      <c r="AZ111" s="98">
        <v>520</v>
      </c>
      <c r="BA111" s="98">
        <v>41</v>
      </c>
      <c r="BB111" s="98">
        <v>98</v>
      </c>
      <c r="BC111" s="98">
        <v>11</v>
      </c>
      <c r="BD111" s="98">
        <v>871</v>
      </c>
      <c r="BE111" s="98">
        <v>71</v>
      </c>
      <c r="BF111" s="98">
        <v>164</v>
      </c>
      <c r="BG111" s="98">
        <v>15</v>
      </c>
      <c r="BI111" s="93">
        <v>4.7</v>
      </c>
      <c r="BJ111" s="98">
        <v>2.2999999999999998</v>
      </c>
      <c r="BK111" s="98">
        <v>557000</v>
      </c>
      <c r="BL111" s="98">
        <v>36000</v>
      </c>
      <c r="BM111" s="98">
        <v>8630</v>
      </c>
      <c r="BN111" s="98">
        <v>790</v>
      </c>
      <c r="BO111" s="99">
        <v>50.4</v>
      </c>
      <c r="BP111" s="98">
        <v>2.4</v>
      </c>
      <c r="BQ111" s="99">
        <v>74.7</v>
      </c>
      <c r="BR111" s="98">
        <v>3.6</v>
      </c>
      <c r="BT111" s="95">
        <f t="shared" si="102"/>
        <v>8.5763490241102192E-2</v>
      </c>
      <c r="BU111" s="96">
        <f t="shared" si="103"/>
        <v>1.3391304347826087</v>
      </c>
      <c r="BV111" s="96">
        <f t="shared" si="104"/>
        <v>64.542294322132093</v>
      </c>
      <c r="BW111" s="96">
        <f t="shared" si="105"/>
        <v>0.67469879518072284</v>
      </c>
      <c r="BX111" s="99">
        <f>CK111/SQRT(CJ111*CL111)</f>
        <v>6.0406968648331576</v>
      </c>
      <c r="BY111" s="96">
        <f t="shared" si="106"/>
        <v>1.3391304347826087</v>
      </c>
      <c r="BZ111" s="97">
        <f t="shared" si="107"/>
        <v>4.1979010494752627E-4</v>
      </c>
      <c r="CA111" s="95">
        <f t="shared" si="108"/>
        <v>0.28560579642813655</v>
      </c>
      <c r="CB111" s="99">
        <f t="shared" si="124"/>
        <v>122.24936007357586</v>
      </c>
      <c r="CC111" s="99">
        <f t="shared" si="124"/>
        <v>5.891535425232572</v>
      </c>
      <c r="CD111" s="100">
        <f t="shared" si="110"/>
        <v>703.65825108924321</v>
      </c>
      <c r="CE111" s="100">
        <f t="shared" si="125"/>
        <v>739.96302873525235</v>
      </c>
      <c r="CF111" s="100">
        <f t="shared" si="101"/>
        <v>47.526519823366087</v>
      </c>
      <c r="CG111" s="96">
        <f t="shared" si="128"/>
        <v>-7.4465140961445631E-2</v>
      </c>
      <c r="CH111" s="96">
        <f t="shared" ref="CH111:CH170" si="129">(4*0.1^2+4*0.12^2*LOG((AH111/(CB111*BI111)^0.5)^2)+3.99*(BJ111/2)^2/(BI111^2)+3.99^2*(CC111/2)^2/(CB111^2)+4*3.99*(AI111/2)^2/(AH111^2))^(1/2)</f>
        <v>0.52121510547411209</v>
      </c>
      <c r="CJ111" s="95">
        <f>AF111/CJ$4</f>
        <v>1.3122362869198312</v>
      </c>
      <c r="CK111" s="93">
        <f t="shared" si="111"/>
        <v>10.065359477124183</v>
      </c>
      <c r="CL111" s="93">
        <f t="shared" si="112"/>
        <v>2.1157894736842104</v>
      </c>
      <c r="CM111" s="93">
        <f t="shared" si="113"/>
        <v>9.8501070663811543</v>
      </c>
      <c r="CN111" s="93">
        <f t="shared" si="114"/>
        <v>60.130718954248366</v>
      </c>
      <c r="CO111" s="93">
        <f t="shared" si="115"/>
        <v>42.758620689655167</v>
      </c>
      <c r="CP111" s="93">
        <f t="shared" si="116"/>
        <v>372.7493917274939</v>
      </c>
      <c r="CQ111" s="93">
        <f t="shared" si="117"/>
        <v>679.14438502673784</v>
      </c>
      <c r="CR111" s="93">
        <f t="shared" si="118"/>
        <v>1303.1496062992126</v>
      </c>
      <c r="CS111" s="93">
        <f t="shared" si="119"/>
        <v>2084.8056537102475</v>
      </c>
      <c r="CT111" s="93">
        <f t="shared" si="120"/>
        <v>3141.9939577039272</v>
      </c>
      <c r="CU111" s="93">
        <f t="shared" si="121"/>
        <v>3843.1372549019611</v>
      </c>
      <c r="CV111" s="93">
        <f t="shared" si="122"/>
        <v>5123.5294117647054</v>
      </c>
      <c r="CW111" s="93">
        <f t="shared" si="123"/>
        <v>6456.6929133858266</v>
      </c>
    </row>
    <row r="112" spans="1:101" s="98" customFormat="1">
      <c r="A112" s="3" t="s">
        <v>346</v>
      </c>
      <c r="B112" s="3" t="s">
        <v>268</v>
      </c>
      <c r="C112" s="3"/>
      <c r="D112" s="93">
        <v>7.0149999999999997</v>
      </c>
      <c r="E112" s="94">
        <v>0.18529999999999999</v>
      </c>
      <c r="F112" s="94">
        <v>2.5000000000000001E-3</v>
      </c>
      <c r="G112" s="95">
        <v>13.26</v>
      </c>
      <c r="H112" s="96">
        <v>0.37</v>
      </c>
      <c r="I112" s="97">
        <v>0.52</v>
      </c>
      <c r="J112" s="95">
        <v>1.2E-2</v>
      </c>
      <c r="K112" s="96">
        <v>0.51066</v>
      </c>
      <c r="M112" s="99">
        <v>2699</v>
      </c>
      <c r="N112" s="98">
        <v>49</v>
      </c>
      <c r="O112" s="99">
        <v>2701</v>
      </c>
      <c r="P112" s="98">
        <v>13</v>
      </c>
      <c r="Q112" s="93">
        <v>0.06</v>
      </c>
      <c r="R112" s="97">
        <v>2.8E-3</v>
      </c>
      <c r="T112" s="98">
        <v>310</v>
      </c>
      <c r="U112" s="98">
        <v>140</v>
      </c>
      <c r="V112" s="98">
        <v>1</v>
      </c>
      <c r="W112" s="98">
        <v>1.2</v>
      </c>
      <c r="X112" s="98" t="s">
        <v>250</v>
      </c>
      <c r="Y112" s="98" t="s">
        <v>250</v>
      </c>
      <c r="Z112" s="98">
        <v>4.5999999999999996</v>
      </c>
      <c r="AA112" s="98">
        <v>1.2</v>
      </c>
      <c r="AB112" s="98">
        <v>1.55</v>
      </c>
      <c r="AC112" s="98">
        <v>0.63</v>
      </c>
      <c r="AD112" s="98">
        <v>1258</v>
      </c>
      <c r="AE112" s="98">
        <v>92</v>
      </c>
      <c r="AF112" s="95" t="s">
        <v>250</v>
      </c>
      <c r="AG112" s="97" t="s">
        <v>250</v>
      </c>
      <c r="AH112" s="96">
        <v>5.23</v>
      </c>
      <c r="AI112" s="96">
        <v>0.76</v>
      </c>
      <c r="AJ112" s="95">
        <v>6.9000000000000006E-2</v>
      </c>
      <c r="AK112" s="95">
        <v>3.7999999999999999E-2</v>
      </c>
      <c r="AL112" s="96">
        <v>1.38</v>
      </c>
      <c r="AM112" s="96">
        <v>0.7</v>
      </c>
      <c r="AN112" s="96">
        <v>2.92</v>
      </c>
      <c r="AO112" s="96">
        <v>0.63</v>
      </c>
      <c r="AP112" s="96">
        <v>0.64</v>
      </c>
      <c r="AQ112" s="96">
        <v>0.24</v>
      </c>
      <c r="AR112" s="96">
        <v>24.9</v>
      </c>
      <c r="AS112" s="93">
        <v>4.0999999999999996</v>
      </c>
      <c r="AT112" s="96">
        <v>7.77</v>
      </c>
      <c r="AU112" s="96">
        <v>0.83</v>
      </c>
      <c r="AV112" s="99">
        <v>106</v>
      </c>
      <c r="AW112" s="98">
        <v>12</v>
      </c>
      <c r="AX112" s="98">
        <v>43.1</v>
      </c>
      <c r="AY112" s="98">
        <v>3.5</v>
      </c>
      <c r="AZ112" s="98">
        <v>216</v>
      </c>
      <c r="BA112" s="98">
        <v>14</v>
      </c>
      <c r="BB112" s="98">
        <v>42.5</v>
      </c>
      <c r="BC112" s="98">
        <v>2.8</v>
      </c>
      <c r="BD112" s="98">
        <v>387</v>
      </c>
      <c r="BE112" s="98">
        <v>25</v>
      </c>
      <c r="BF112" s="98">
        <v>75.8</v>
      </c>
      <c r="BG112" s="98">
        <v>6.7</v>
      </c>
      <c r="BI112" s="93">
        <v>4.8</v>
      </c>
      <c r="BJ112" s="98">
        <v>1.7</v>
      </c>
      <c r="BK112" s="98">
        <v>559000</v>
      </c>
      <c r="BL112" s="98">
        <v>37000</v>
      </c>
      <c r="BM112" s="98">
        <v>8720</v>
      </c>
      <c r="BN112" s="98">
        <v>530</v>
      </c>
      <c r="BO112" s="99">
        <v>22.5</v>
      </c>
      <c r="BP112" s="98">
        <v>1.4</v>
      </c>
      <c r="BQ112" s="99">
        <v>44.2</v>
      </c>
      <c r="BR112" s="98">
        <v>2.6</v>
      </c>
      <c r="BT112" s="95">
        <f t="shared" si="102"/>
        <v>0.11421188630490957</v>
      </c>
      <c r="BU112" s="96">
        <f t="shared" si="103"/>
        <v>3.7898550724637685</v>
      </c>
      <c r="BV112" s="96">
        <f t="shared" si="104"/>
        <v>64.105504587155963</v>
      </c>
      <c r="BW112" s="96">
        <f t="shared" si="105"/>
        <v>0.50904977375565608</v>
      </c>
      <c r="BX112" s="99"/>
      <c r="BY112" s="96">
        <f t="shared" si="106"/>
        <v>3.7898550724637685</v>
      </c>
      <c r="BZ112" s="97">
        <f t="shared" si="107"/>
        <v>3.0126033962351102E-3</v>
      </c>
      <c r="CA112" s="95">
        <f t="shared" si="108"/>
        <v>0.22946291673628061</v>
      </c>
      <c r="CB112" s="99">
        <f t="shared" si="124"/>
        <v>72.334962720911022</v>
      </c>
      <c r="CC112" s="99">
        <f t="shared" si="124"/>
        <v>4.2549978071124128</v>
      </c>
      <c r="CD112" s="100">
        <f t="shared" si="110"/>
        <v>705.47917997803654</v>
      </c>
      <c r="CE112" s="100">
        <f t="shared" si="125"/>
        <v>741.92196469747637</v>
      </c>
      <c r="CF112" s="100">
        <f t="shared" si="101"/>
        <v>35.335905982302599</v>
      </c>
      <c r="CG112" s="96">
        <f t="shared" si="128"/>
        <v>7.8345687370663164E-2</v>
      </c>
      <c r="CH112" s="96">
        <f t="shared" si="129"/>
        <v>0.44674466164621046</v>
      </c>
      <c r="CJ112" s="95"/>
      <c r="CK112" s="93">
        <f t="shared" si="111"/>
        <v>8.5457516339869297</v>
      </c>
      <c r="CL112" s="93">
        <f t="shared" si="112"/>
        <v>0.72631578947368425</v>
      </c>
      <c r="CM112" s="93">
        <f t="shared" si="113"/>
        <v>2.9550321199143466</v>
      </c>
      <c r="CN112" s="93">
        <f t="shared" si="114"/>
        <v>19.084967320261438</v>
      </c>
      <c r="CO112" s="93">
        <f t="shared" si="115"/>
        <v>11.034482758620689</v>
      </c>
      <c r="CP112" s="93">
        <f t="shared" si="116"/>
        <v>121.16788321167883</v>
      </c>
      <c r="CQ112" s="93">
        <f t="shared" si="117"/>
        <v>207.75401069518713</v>
      </c>
      <c r="CR112" s="93">
        <f t="shared" si="118"/>
        <v>417.32283464566927</v>
      </c>
      <c r="CS112" s="93">
        <f t="shared" si="119"/>
        <v>761.48409893992937</v>
      </c>
      <c r="CT112" s="93">
        <f t="shared" si="120"/>
        <v>1305.1359516616315</v>
      </c>
      <c r="CU112" s="93">
        <f t="shared" si="121"/>
        <v>1666.6666666666667</v>
      </c>
      <c r="CV112" s="93">
        <f t="shared" si="122"/>
        <v>2276.4705882352941</v>
      </c>
      <c r="CW112" s="93">
        <f t="shared" si="123"/>
        <v>2984.251968503937</v>
      </c>
    </row>
    <row r="113" spans="1:101" s="98" customFormat="1">
      <c r="A113" s="3" t="s">
        <v>347</v>
      </c>
      <c r="B113" s="3" t="s">
        <v>268</v>
      </c>
      <c r="C113" s="3"/>
      <c r="D113" s="93">
        <v>7.0069999999999997</v>
      </c>
      <c r="E113" s="94">
        <v>0.1852</v>
      </c>
      <c r="F113" s="94">
        <v>1.9E-3</v>
      </c>
      <c r="G113" s="95">
        <v>13.28</v>
      </c>
      <c r="H113" s="96">
        <v>0.35</v>
      </c>
      <c r="I113" s="97">
        <v>0.5212</v>
      </c>
      <c r="J113" s="95">
        <v>1.0999999999999999E-2</v>
      </c>
      <c r="K113" s="96">
        <v>0.44633</v>
      </c>
      <c r="M113" s="99">
        <v>2704</v>
      </c>
      <c r="N113" s="98">
        <v>48</v>
      </c>
      <c r="O113" s="99">
        <v>2699.8</v>
      </c>
      <c r="P113" s="98">
        <v>9.1999999999999993</v>
      </c>
      <c r="Q113" s="93">
        <v>-0.16</v>
      </c>
      <c r="R113" s="97">
        <v>5.9999999999999995E-4</v>
      </c>
      <c r="T113" s="98">
        <v>60</v>
      </c>
      <c r="U113" s="98">
        <v>250</v>
      </c>
      <c r="V113" s="98" t="s">
        <v>250</v>
      </c>
      <c r="W113" s="98" t="s">
        <v>250</v>
      </c>
      <c r="X113" s="98">
        <v>0.41</v>
      </c>
      <c r="Y113" s="98">
        <v>0.36</v>
      </c>
      <c r="Z113" s="98">
        <v>4.3</v>
      </c>
      <c r="AA113" s="98">
        <v>1.1000000000000001</v>
      </c>
      <c r="AB113" s="98">
        <v>1.51</v>
      </c>
      <c r="AC113" s="98">
        <v>0.68</v>
      </c>
      <c r="AD113" s="98">
        <v>1110</v>
      </c>
      <c r="AE113" s="98">
        <v>130</v>
      </c>
      <c r="AF113" s="95">
        <v>1.6E-2</v>
      </c>
      <c r="AG113" s="97">
        <v>1.7000000000000001E-2</v>
      </c>
      <c r="AH113" s="96">
        <v>5.6</v>
      </c>
      <c r="AI113" s="96">
        <v>1.3</v>
      </c>
      <c r="AJ113" s="95">
        <v>3.9E-2</v>
      </c>
      <c r="AK113" s="95">
        <v>3.1E-2</v>
      </c>
      <c r="AL113" s="96">
        <v>1.21</v>
      </c>
      <c r="AM113" s="96">
        <v>0.73</v>
      </c>
      <c r="AN113" s="96">
        <v>3.8</v>
      </c>
      <c r="AO113" s="96">
        <v>1.4</v>
      </c>
      <c r="AP113" s="96">
        <v>0.62</v>
      </c>
      <c r="AQ113" s="96">
        <v>0.28000000000000003</v>
      </c>
      <c r="AR113" s="96">
        <v>23.1</v>
      </c>
      <c r="AS113" s="93">
        <v>3</v>
      </c>
      <c r="AT113" s="96">
        <v>8.4</v>
      </c>
      <c r="AU113" s="96">
        <v>1.5</v>
      </c>
      <c r="AV113" s="99">
        <v>104</v>
      </c>
      <c r="AW113" s="98">
        <v>12</v>
      </c>
      <c r="AX113" s="98">
        <v>41.8</v>
      </c>
      <c r="AY113" s="98">
        <v>6.2</v>
      </c>
      <c r="AZ113" s="98">
        <v>207</v>
      </c>
      <c r="BA113" s="98">
        <v>29</v>
      </c>
      <c r="BB113" s="98">
        <v>42.6</v>
      </c>
      <c r="BC113" s="98">
        <v>5.4</v>
      </c>
      <c r="BD113" s="98">
        <v>367</v>
      </c>
      <c r="BE113" s="98">
        <v>46</v>
      </c>
      <c r="BF113" s="98">
        <v>75</v>
      </c>
      <c r="BG113" s="98">
        <v>10</v>
      </c>
      <c r="BI113" s="93">
        <v>4.0999999999999996</v>
      </c>
      <c r="BJ113" s="98">
        <v>1.6</v>
      </c>
      <c r="BK113" s="98">
        <v>541000</v>
      </c>
      <c r="BL113" s="98">
        <v>69000</v>
      </c>
      <c r="BM113" s="98">
        <v>8950</v>
      </c>
      <c r="BN113" s="98">
        <v>960</v>
      </c>
      <c r="BO113" s="99">
        <v>32.4</v>
      </c>
      <c r="BP113" s="98">
        <v>3.3</v>
      </c>
      <c r="BQ113" s="99">
        <v>53.7</v>
      </c>
      <c r="BR113" s="98">
        <v>5.6</v>
      </c>
      <c r="BT113" s="95">
        <f t="shared" si="102"/>
        <v>0.14632152588555858</v>
      </c>
      <c r="BU113" s="96">
        <f t="shared" si="103"/>
        <v>4.6280991735537187</v>
      </c>
      <c r="BV113" s="96">
        <f t="shared" si="104"/>
        <v>60.446927374301673</v>
      </c>
      <c r="BW113" s="96">
        <f t="shared" si="105"/>
        <v>0.60335195530726249</v>
      </c>
      <c r="BX113" s="99">
        <f>CK113/SQRT(CJ113*CL113)</f>
        <v>54.96424738937143</v>
      </c>
      <c r="BY113" s="96">
        <f t="shared" si="106"/>
        <v>4.6280991735537187</v>
      </c>
      <c r="BZ113" s="97">
        <f t="shared" si="107"/>
        <v>4.1694587149132597E-3</v>
      </c>
      <c r="CA113" s="95">
        <f t="shared" si="108"/>
        <v>0.20231008669748343</v>
      </c>
      <c r="CB113" s="99">
        <f t="shared" si="124"/>
        <v>87.882070093052533</v>
      </c>
      <c r="CC113" s="99">
        <f t="shared" si="124"/>
        <v>9.1646106614728886</v>
      </c>
      <c r="CD113" s="100">
        <f t="shared" si="110"/>
        <v>692.00830658480822</v>
      </c>
      <c r="CE113" s="100">
        <f t="shared" si="125"/>
        <v>727.43656310118683</v>
      </c>
      <c r="CF113" s="100">
        <f t="shared" si="101"/>
        <v>37.600221166491615</v>
      </c>
      <c r="CG113" s="96">
        <f t="shared" si="128"/>
        <v>0.16468537833422747</v>
      </c>
      <c r="CH113" s="96">
        <f t="shared" si="129"/>
        <v>0.62381146812919497</v>
      </c>
      <c r="CJ113" s="95">
        <f>AF113/CJ$4</f>
        <v>6.7510548523206759E-2</v>
      </c>
      <c r="CK113" s="93">
        <f t="shared" si="111"/>
        <v>9.1503267973856204</v>
      </c>
      <c r="CL113" s="93">
        <f t="shared" si="112"/>
        <v>0.41052631578947368</v>
      </c>
      <c r="CM113" s="93">
        <f t="shared" si="113"/>
        <v>2.591006423982869</v>
      </c>
      <c r="CN113" s="93">
        <f t="shared" si="114"/>
        <v>24.836601307189543</v>
      </c>
      <c r="CO113" s="93">
        <f t="shared" si="115"/>
        <v>10.689655172413792</v>
      </c>
      <c r="CP113" s="93">
        <f t="shared" si="116"/>
        <v>112.40875912408761</v>
      </c>
      <c r="CQ113" s="93">
        <f t="shared" si="117"/>
        <v>224.59893048128342</v>
      </c>
      <c r="CR113" s="93">
        <f t="shared" si="118"/>
        <v>409.44881889763781</v>
      </c>
      <c r="CS113" s="93">
        <f t="shared" si="119"/>
        <v>738.51590106007063</v>
      </c>
      <c r="CT113" s="93">
        <f t="shared" si="120"/>
        <v>1250.7552870090633</v>
      </c>
      <c r="CU113" s="93">
        <f t="shared" si="121"/>
        <v>1670.5882352941178</v>
      </c>
      <c r="CV113" s="93">
        <f t="shared" si="122"/>
        <v>2158.8235294117644</v>
      </c>
      <c r="CW113" s="93">
        <f t="shared" si="123"/>
        <v>2952.7559055118113</v>
      </c>
    </row>
    <row r="114" spans="1:101" s="98" customFormat="1">
      <c r="A114" s="3" t="s">
        <v>348</v>
      </c>
      <c r="B114" s="3" t="s">
        <v>268</v>
      </c>
      <c r="C114" s="3"/>
      <c r="D114" s="93">
        <v>7.2789999999999999</v>
      </c>
      <c r="E114" s="94">
        <v>0.18629999999999999</v>
      </c>
      <c r="F114" s="94">
        <v>1.6999999999999999E-3</v>
      </c>
      <c r="G114" s="95">
        <v>13.99</v>
      </c>
      <c r="H114" s="96">
        <v>0.36</v>
      </c>
      <c r="I114" s="97">
        <v>0.54600000000000004</v>
      </c>
      <c r="J114" s="95">
        <v>1.2E-2</v>
      </c>
      <c r="K114" s="96">
        <v>0.57750999999999997</v>
      </c>
      <c r="M114" s="99">
        <v>2808</v>
      </c>
      <c r="N114" s="98">
        <v>50</v>
      </c>
      <c r="O114" s="99">
        <v>2708.9</v>
      </c>
      <c r="P114" s="98">
        <v>7.2</v>
      </c>
      <c r="Q114" s="93">
        <v>-3.78</v>
      </c>
      <c r="R114" s="97">
        <v>0</v>
      </c>
      <c r="T114" s="98">
        <v>340</v>
      </c>
      <c r="U114" s="98">
        <v>220</v>
      </c>
      <c r="V114" s="98" t="s">
        <v>250</v>
      </c>
      <c r="W114" s="98" t="s">
        <v>250</v>
      </c>
      <c r="X114" s="98">
        <v>0.08</v>
      </c>
      <c r="Y114" s="98">
        <v>0.11</v>
      </c>
      <c r="Z114" s="98">
        <v>3.88</v>
      </c>
      <c r="AA114" s="98">
        <v>0.91</v>
      </c>
      <c r="AB114" s="98">
        <v>0.79</v>
      </c>
      <c r="AC114" s="98">
        <v>0.34</v>
      </c>
      <c r="AD114" s="98">
        <v>980</v>
      </c>
      <c r="AE114" s="98">
        <v>110</v>
      </c>
      <c r="AF114" s="95" t="s">
        <v>250</v>
      </c>
      <c r="AG114" s="97" t="s">
        <v>250</v>
      </c>
      <c r="AH114" s="96">
        <v>5.0999999999999996</v>
      </c>
      <c r="AI114" s="96">
        <v>1.4</v>
      </c>
      <c r="AJ114" s="95">
        <v>4.7E-2</v>
      </c>
      <c r="AK114" s="95">
        <v>2.7E-2</v>
      </c>
      <c r="AL114" s="96">
        <v>0.85</v>
      </c>
      <c r="AM114" s="96">
        <v>0.36</v>
      </c>
      <c r="AN114" s="96">
        <v>2.2999999999999998</v>
      </c>
      <c r="AO114" s="96">
        <v>1.1000000000000001</v>
      </c>
      <c r="AP114" s="96">
        <v>0.69</v>
      </c>
      <c r="AQ114" s="96">
        <v>0.33</v>
      </c>
      <c r="AR114" s="96">
        <v>18.399999999999999</v>
      </c>
      <c r="AS114" s="93">
        <v>5.6</v>
      </c>
      <c r="AT114" s="96">
        <v>6.8</v>
      </c>
      <c r="AU114" s="96">
        <v>1</v>
      </c>
      <c r="AV114" s="99">
        <v>84.7</v>
      </c>
      <c r="AW114" s="98">
        <v>9</v>
      </c>
      <c r="AX114" s="98">
        <v>33.700000000000003</v>
      </c>
      <c r="AY114" s="98">
        <v>4.5</v>
      </c>
      <c r="AZ114" s="98">
        <v>173</v>
      </c>
      <c r="BA114" s="98">
        <v>24</v>
      </c>
      <c r="BB114" s="98">
        <v>32.200000000000003</v>
      </c>
      <c r="BC114" s="98">
        <v>4</v>
      </c>
      <c r="BD114" s="98">
        <v>275</v>
      </c>
      <c r="BE114" s="98">
        <v>38</v>
      </c>
      <c r="BF114" s="98">
        <v>57.2</v>
      </c>
      <c r="BG114" s="98">
        <v>6.8</v>
      </c>
      <c r="BI114" s="93">
        <v>2.8</v>
      </c>
      <c r="BJ114" s="98">
        <v>2.4</v>
      </c>
      <c r="BK114" s="98">
        <v>513000</v>
      </c>
      <c r="BL114" s="98">
        <v>52000</v>
      </c>
      <c r="BM114" s="98">
        <v>8220</v>
      </c>
      <c r="BN114" s="98">
        <v>970</v>
      </c>
      <c r="BO114" s="99">
        <v>20.100000000000001</v>
      </c>
      <c r="BP114" s="98">
        <v>1.7</v>
      </c>
      <c r="BQ114" s="99">
        <v>40.700000000000003</v>
      </c>
      <c r="BR114" s="98">
        <v>3.5</v>
      </c>
      <c r="BT114" s="95">
        <f t="shared" si="102"/>
        <v>0.14800000000000002</v>
      </c>
      <c r="BU114" s="96">
        <f t="shared" si="103"/>
        <v>6</v>
      </c>
      <c r="BV114" s="96">
        <f t="shared" si="104"/>
        <v>62.408759124087588</v>
      </c>
      <c r="BW114" s="96">
        <f t="shared" si="105"/>
        <v>0.49385749385749383</v>
      </c>
      <c r="BX114" s="99"/>
      <c r="BY114" s="96">
        <f t="shared" si="106"/>
        <v>6</v>
      </c>
      <c r="BZ114" s="97">
        <f t="shared" si="107"/>
        <v>6.1224489795918364E-3</v>
      </c>
      <c r="CA114" s="95">
        <f t="shared" si="108"/>
        <v>0.32426486646973479</v>
      </c>
      <c r="CB114" s="99">
        <f t="shared" si="124"/>
        <v>66.607081057490461</v>
      </c>
      <c r="CC114" s="99">
        <f t="shared" si="124"/>
        <v>5.7278816634205558</v>
      </c>
      <c r="CD114" s="100">
        <f t="shared" si="110"/>
        <v>660.90144702163991</v>
      </c>
      <c r="CE114" s="100">
        <f t="shared" si="125"/>
        <v>694.04360437595142</v>
      </c>
      <c r="CF114" s="100">
        <f t="shared" si="101"/>
        <v>74.951521928007026</v>
      </c>
      <c r="CG114" s="96">
        <f t="shared" si="128"/>
        <v>0.57320152840469829</v>
      </c>
      <c r="CH114" s="96">
        <f t="shared" si="129"/>
        <v>1.0264891737894994</v>
      </c>
      <c r="CJ114" s="95"/>
      <c r="CK114" s="93">
        <f t="shared" si="111"/>
        <v>8.3333333333333321</v>
      </c>
      <c r="CL114" s="93">
        <f t="shared" si="112"/>
        <v>0.49473684210526314</v>
      </c>
      <c r="CM114" s="93">
        <f t="shared" si="113"/>
        <v>1.8201284796573873</v>
      </c>
      <c r="CN114" s="93">
        <f t="shared" si="114"/>
        <v>15.032679738562091</v>
      </c>
      <c r="CO114" s="93">
        <f t="shared" si="115"/>
        <v>11.896551724137929</v>
      </c>
      <c r="CP114" s="93">
        <f t="shared" si="116"/>
        <v>89.537712895377126</v>
      </c>
      <c r="CQ114" s="93">
        <f t="shared" si="117"/>
        <v>181.81818181818181</v>
      </c>
      <c r="CR114" s="93">
        <f t="shared" si="118"/>
        <v>333.46456692913387</v>
      </c>
      <c r="CS114" s="93">
        <f t="shared" si="119"/>
        <v>595.40636042402832</v>
      </c>
      <c r="CT114" s="93">
        <f t="shared" si="120"/>
        <v>1045.3172205438066</v>
      </c>
      <c r="CU114" s="93">
        <f t="shared" si="121"/>
        <v>1262.7450980392159</v>
      </c>
      <c r="CV114" s="93">
        <f t="shared" si="122"/>
        <v>1617.6470588235293</v>
      </c>
      <c r="CW114" s="93">
        <f t="shared" si="123"/>
        <v>2251.9685039370079</v>
      </c>
    </row>
    <row r="115" spans="1:101" s="98" customFormat="1">
      <c r="A115" s="3" t="s">
        <v>349</v>
      </c>
      <c r="B115" s="3" t="s">
        <v>268</v>
      </c>
      <c r="C115" s="3"/>
      <c r="D115" s="93">
        <v>7.0179999999999998</v>
      </c>
      <c r="E115" s="94">
        <v>0.18507999999999999</v>
      </c>
      <c r="F115" s="94">
        <v>9.3000000000000005E-4</v>
      </c>
      <c r="G115" s="95">
        <v>13.48</v>
      </c>
      <c r="H115" s="96">
        <v>0.34</v>
      </c>
      <c r="I115" s="97">
        <v>0.52949999999999997</v>
      </c>
      <c r="J115" s="95">
        <v>1.2E-2</v>
      </c>
      <c r="K115" s="96">
        <v>0.82199</v>
      </c>
      <c r="M115" s="99">
        <v>2739.1</v>
      </c>
      <c r="N115" s="98">
        <v>48</v>
      </c>
      <c r="O115" s="99">
        <v>2700.1</v>
      </c>
      <c r="P115" s="98">
        <v>4.8</v>
      </c>
      <c r="Q115" s="93">
        <v>-1.44</v>
      </c>
      <c r="R115" s="97">
        <v>0</v>
      </c>
      <c r="T115" s="98">
        <v>620</v>
      </c>
      <c r="U115" s="98">
        <v>170</v>
      </c>
      <c r="V115" s="98" t="s">
        <v>250</v>
      </c>
      <c r="W115" s="98" t="s">
        <v>250</v>
      </c>
      <c r="X115" s="98">
        <v>0.31</v>
      </c>
      <c r="Y115" s="98">
        <v>0.22</v>
      </c>
      <c r="Z115" s="98">
        <v>10.5</v>
      </c>
      <c r="AA115" s="98">
        <v>1.7</v>
      </c>
      <c r="AB115" s="98">
        <v>2.2000000000000002</v>
      </c>
      <c r="AC115" s="98">
        <v>0.43</v>
      </c>
      <c r="AD115" s="98">
        <v>2740</v>
      </c>
      <c r="AE115" s="98">
        <v>280</v>
      </c>
      <c r="AF115" s="95">
        <v>0.62</v>
      </c>
      <c r="AG115" s="97">
        <v>0.5</v>
      </c>
      <c r="AH115" s="96">
        <v>15.4</v>
      </c>
      <c r="AI115" s="96">
        <v>1.2</v>
      </c>
      <c r="AJ115" s="95">
        <v>0.36</v>
      </c>
      <c r="AK115" s="95">
        <v>0.22</v>
      </c>
      <c r="AL115" s="96">
        <v>4.2</v>
      </c>
      <c r="AM115" s="96">
        <v>2.2999999999999998</v>
      </c>
      <c r="AN115" s="96">
        <v>6.7</v>
      </c>
      <c r="AO115" s="96">
        <v>1.5</v>
      </c>
      <c r="AP115" s="96">
        <v>1.35</v>
      </c>
      <c r="AQ115" s="96">
        <v>0.25</v>
      </c>
      <c r="AR115" s="96">
        <v>51</v>
      </c>
      <c r="AS115" s="93">
        <v>6.7</v>
      </c>
      <c r="AT115" s="96">
        <v>19.100000000000001</v>
      </c>
      <c r="AU115" s="96">
        <v>2.4</v>
      </c>
      <c r="AV115" s="99">
        <v>249</v>
      </c>
      <c r="AW115" s="98">
        <v>33</v>
      </c>
      <c r="AX115" s="98">
        <v>96.6</v>
      </c>
      <c r="AY115" s="98">
        <v>3.2</v>
      </c>
      <c r="AZ115" s="98">
        <v>415</v>
      </c>
      <c r="BA115" s="98">
        <v>41</v>
      </c>
      <c r="BB115" s="98">
        <v>83</v>
      </c>
      <c r="BC115" s="98">
        <v>10</v>
      </c>
      <c r="BD115" s="98">
        <v>677</v>
      </c>
      <c r="BE115" s="98">
        <v>90</v>
      </c>
      <c r="BF115" s="98">
        <v>124</v>
      </c>
      <c r="BG115" s="98">
        <v>14</v>
      </c>
      <c r="BI115" s="93">
        <v>7.7</v>
      </c>
      <c r="BJ115" s="98">
        <v>2.6</v>
      </c>
      <c r="BK115" s="98">
        <v>535000</v>
      </c>
      <c r="BL115" s="98">
        <v>66000</v>
      </c>
      <c r="BM115" s="98">
        <v>7500</v>
      </c>
      <c r="BN115" s="98">
        <v>940</v>
      </c>
      <c r="BO115" s="99">
        <v>146</v>
      </c>
      <c r="BP115" s="98">
        <v>11</v>
      </c>
      <c r="BQ115" s="99">
        <v>139</v>
      </c>
      <c r="BR115" s="98">
        <v>10</v>
      </c>
      <c r="BT115" s="95">
        <f t="shared" si="102"/>
        <v>0.20531757754800592</v>
      </c>
      <c r="BU115" s="96">
        <f t="shared" si="103"/>
        <v>3.6666666666666665</v>
      </c>
      <c r="BV115" s="96">
        <f t="shared" si="104"/>
        <v>71.333333333333329</v>
      </c>
      <c r="BW115" s="96">
        <f t="shared" si="105"/>
        <v>1.0503597122302157</v>
      </c>
      <c r="BX115" s="99">
        <f>CK115/SQRT(CJ115*CL115)</f>
        <v>7.9920497596762283</v>
      </c>
      <c r="BY115" s="96">
        <f t="shared" si="106"/>
        <v>3.6666666666666665</v>
      </c>
      <c r="BZ115" s="97">
        <f t="shared" si="107"/>
        <v>1.3381995133819951E-3</v>
      </c>
      <c r="CA115" s="95">
        <f t="shared" si="108"/>
        <v>0.2232723348759722</v>
      </c>
      <c r="CB115" s="99">
        <f t="shared" si="124"/>
        <v>227.47872891870207</v>
      </c>
      <c r="CC115" s="99">
        <f t="shared" si="124"/>
        <v>16.365376181201587</v>
      </c>
      <c r="CD115" s="100">
        <f t="shared" si="110"/>
        <v>748.21992326512395</v>
      </c>
      <c r="CE115" s="100">
        <f t="shared" si="125"/>
        <v>787.9800956125074</v>
      </c>
      <c r="CF115" s="100">
        <f t="shared" si="101"/>
        <v>36.698180994909322</v>
      </c>
      <c r="CG115" s="96">
        <f t="shared" si="128"/>
        <v>0.5475617976174405</v>
      </c>
      <c r="CH115" s="96">
        <f t="shared" si="129"/>
        <v>0.38540589759566418</v>
      </c>
      <c r="CJ115" s="95">
        <f>AF115/CJ$4</f>
        <v>2.6160337552742616</v>
      </c>
      <c r="CK115" s="93">
        <f t="shared" si="111"/>
        <v>25.163398692810457</v>
      </c>
      <c r="CL115" s="93">
        <f t="shared" si="112"/>
        <v>3.7894736842105261</v>
      </c>
      <c r="CM115" s="93">
        <f t="shared" si="113"/>
        <v>8.9935760171306214</v>
      </c>
      <c r="CN115" s="93">
        <f t="shared" si="114"/>
        <v>43.790849673202615</v>
      </c>
      <c r="CO115" s="93">
        <f t="shared" si="115"/>
        <v>23.275862068965516</v>
      </c>
      <c r="CP115" s="93">
        <f t="shared" si="116"/>
        <v>248.17518248175185</v>
      </c>
      <c r="CQ115" s="93">
        <f t="shared" si="117"/>
        <v>510.69518716577539</v>
      </c>
      <c r="CR115" s="93">
        <f t="shared" si="118"/>
        <v>980.3149606299213</v>
      </c>
      <c r="CS115" s="93">
        <f t="shared" si="119"/>
        <v>1706.7137809187279</v>
      </c>
      <c r="CT115" s="93">
        <f t="shared" si="120"/>
        <v>2507.5528700906343</v>
      </c>
      <c r="CU115" s="93">
        <f t="shared" si="121"/>
        <v>3254.9019607843138</v>
      </c>
      <c r="CV115" s="93">
        <f t="shared" si="122"/>
        <v>3982.3529411764703</v>
      </c>
      <c r="CW115" s="93">
        <f t="shared" si="123"/>
        <v>4881.889763779528</v>
      </c>
    </row>
    <row r="116" spans="1:101" s="98" customFormat="1">
      <c r="A116" s="3" t="s">
        <v>350</v>
      </c>
      <c r="B116" s="3" t="s">
        <v>268</v>
      </c>
      <c r="C116" s="3"/>
      <c r="D116" s="93">
        <v>7.0880000000000001</v>
      </c>
      <c r="E116" s="94">
        <v>0.18559999999999999</v>
      </c>
      <c r="F116" s="94">
        <v>2.5999999999999999E-3</v>
      </c>
      <c r="G116" s="95">
        <v>13.27</v>
      </c>
      <c r="H116" s="96">
        <v>0.37</v>
      </c>
      <c r="I116" s="97">
        <v>0.52080000000000004</v>
      </c>
      <c r="J116" s="95">
        <v>1.2E-2</v>
      </c>
      <c r="K116" s="96">
        <v>0.43036999999999997</v>
      </c>
      <c r="M116" s="99">
        <v>2703</v>
      </c>
      <c r="N116" s="98">
        <v>49</v>
      </c>
      <c r="O116" s="99">
        <v>2706</v>
      </c>
      <c r="P116" s="98">
        <v>14</v>
      </c>
      <c r="Q116" s="93">
        <v>0.05</v>
      </c>
      <c r="R116" s="97">
        <v>1.5E-3</v>
      </c>
      <c r="T116" s="98">
        <v>100</v>
      </c>
      <c r="U116" s="98">
        <v>200</v>
      </c>
      <c r="V116" s="98" t="s">
        <v>250</v>
      </c>
      <c r="W116" s="98" t="s">
        <v>250</v>
      </c>
      <c r="X116" s="98">
        <v>0.41</v>
      </c>
      <c r="Y116" s="98">
        <v>0.33</v>
      </c>
      <c r="Z116" s="98">
        <v>3.11</v>
      </c>
      <c r="AA116" s="98">
        <v>0.73</v>
      </c>
      <c r="AB116" s="98">
        <v>0.7</v>
      </c>
      <c r="AC116" s="98">
        <v>0.3</v>
      </c>
      <c r="AD116" s="98">
        <v>819</v>
      </c>
      <c r="AE116" s="98">
        <v>56</v>
      </c>
      <c r="AF116" s="95" t="s">
        <v>250</v>
      </c>
      <c r="AG116" s="97" t="s">
        <v>250</v>
      </c>
      <c r="AH116" s="96">
        <v>3.05</v>
      </c>
      <c r="AI116" s="96">
        <v>0.44</v>
      </c>
      <c r="AJ116" s="95">
        <v>2.9000000000000001E-2</v>
      </c>
      <c r="AK116" s="95">
        <v>2.8000000000000001E-2</v>
      </c>
      <c r="AL116" s="96">
        <v>0.65</v>
      </c>
      <c r="AM116" s="96">
        <v>0.35</v>
      </c>
      <c r="AN116" s="96">
        <v>2.13</v>
      </c>
      <c r="AO116" s="96">
        <v>0.72</v>
      </c>
      <c r="AP116" s="96">
        <v>0.56000000000000005</v>
      </c>
      <c r="AQ116" s="96">
        <v>0.2</v>
      </c>
      <c r="AR116" s="96">
        <v>15.5</v>
      </c>
      <c r="AS116" s="93">
        <v>3.2</v>
      </c>
      <c r="AT116" s="96">
        <v>5.3</v>
      </c>
      <c r="AU116" s="96">
        <v>0.92</v>
      </c>
      <c r="AV116" s="99">
        <v>73.900000000000006</v>
      </c>
      <c r="AW116" s="98">
        <v>3.5</v>
      </c>
      <c r="AX116" s="98">
        <v>29.8</v>
      </c>
      <c r="AY116" s="98">
        <v>2.9</v>
      </c>
      <c r="AZ116" s="98">
        <v>142</v>
      </c>
      <c r="BA116" s="98">
        <v>15</v>
      </c>
      <c r="BB116" s="98">
        <v>26.6</v>
      </c>
      <c r="BC116" s="98">
        <v>3.2</v>
      </c>
      <c r="BD116" s="98">
        <v>258</v>
      </c>
      <c r="BE116" s="98">
        <v>23</v>
      </c>
      <c r="BF116" s="98">
        <v>50.3</v>
      </c>
      <c r="BG116" s="98">
        <v>5</v>
      </c>
      <c r="BI116" s="93">
        <v>4</v>
      </c>
      <c r="BJ116" s="98">
        <v>2.2000000000000002</v>
      </c>
      <c r="BK116" s="98">
        <v>469000</v>
      </c>
      <c r="BL116" s="98">
        <v>32000</v>
      </c>
      <c r="BM116" s="98">
        <v>7700</v>
      </c>
      <c r="BN116" s="98">
        <v>620</v>
      </c>
      <c r="BO116" s="99">
        <v>13.12</v>
      </c>
      <c r="BP116" s="98">
        <v>0.55000000000000004</v>
      </c>
      <c r="BQ116" s="99">
        <v>29.2</v>
      </c>
      <c r="BR116" s="98">
        <v>1.1000000000000001</v>
      </c>
      <c r="BT116" s="95">
        <f t="shared" si="102"/>
        <v>0.11317829457364341</v>
      </c>
      <c r="BU116" s="96">
        <f t="shared" si="103"/>
        <v>4.6923076923076916</v>
      </c>
      <c r="BV116" s="96">
        <f t="shared" si="104"/>
        <v>60.909090909090907</v>
      </c>
      <c r="BW116" s="96">
        <f t="shared" si="105"/>
        <v>0.44931506849315067</v>
      </c>
      <c r="BX116" s="99"/>
      <c r="BY116" s="96">
        <f t="shared" si="106"/>
        <v>4.6923076923076916</v>
      </c>
      <c r="BZ116" s="97">
        <f t="shared" si="107"/>
        <v>5.7293134216211128E-3</v>
      </c>
      <c r="CA116" s="95">
        <f t="shared" si="108"/>
        <v>0.29795865909833552</v>
      </c>
      <c r="CB116" s="99">
        <f t="shared" si="124"/>
        <v>47.786898449108634</v>
      </c>
      <c r="CC116" s="99">
        <f t="shared" si="124"/>
        <v>1.8001913799321747</v>
      </c>
      <c r="CD116" s="100">
        <f t="shared" si="110"/>
        <v>689.93161615144459</v>
      </c>
      <c r="CE116" s="100">
        <f t="shared" si="125"/>
        <v>725.20479179380322</v>
      </c>
      <c r="CF116" s="100">
        <f t="shared" si="101"/>
        <v>51.693537212654654</v>
      </c>
      <c r="CG116" s="96">
        <f t="shared" si="128"/>
        <v>-0.33897446763923034</v>
      </c>
      <c r="CH116" s="96">
        <f t="shared" si="129"/>
        <v>0.59566325200820347</v>
      </c>
      <c r="CJ116" s="95"/>
      <c r="CK116" s="93">
        <f t="shared" si="111"/>
        <v>4.9836601307189543</v>
      </c>
      <c r="CL116" s="93">
        <f t="shared" si="112"/>
        <v>0.30526315789473685</v>
      </c>
      <c r="CM116" s="93">
        <f t="shared" si="113"/>
        <v>1.39186295503212</v>
      </c>
      <c r="CN116" s="93">
        <f t="shared" si="114"/>
        <v>13.921568627450981</v>
      </c>
      <c r="CO116" s="93">
        <f t="shared" si="115"/>
        <v>9.6551724137931032</v>
      </c>
      <c r="CP116" s="93">
        <f t="shared" si="116"/>
        <v>75.425790754257918</v>
      </c>
      <c r="CQ116" s="93">
        <f t="shared" si="117"/>
        <v>141.71122994652404</v>
      </c>
      <c r="CR116" s="93">
        <f t="shared" si="118"/>
        <v>290.94488188976379</v>
      </c>
      <c r="CS116" s="93">
        <f t="shared" si="119"/>
        <v>526.50176678445234</v>
      </c>
      <c r="CT116" s="93">
        <f t="shared" si="120"/>
        <v>858.00604229607245</v>
      </c>
      <c r="CU116" s="93">
        <f t="shared" si="121"/>
        <v>1043.1372549019609</v>
      </c>
      <c r="CV116" s="93">
        <f t="shared" si="122"/>
        <v>1517.6470588235293</v>
      </c>
      <c r="CW116" s="93">
        <f t="shared" si="123"/>
        <v>1980.3149606299212</v>
      </c>
    </row>
    <row r="117" spans="1:101" s="118" customFormat="1">
      <c r="A117" s="111" t="s">
        <v>351</v>
      </c>
      <c r="B117" s="111" t="s">
        <v>268</v>
      </c>
      <c r="C117" s="111"/>
      <c r="D117" s="113">
        <v>7.2480000000000002</v>
      </c>
      <c r="E117" s="114">
        <v>0.18490000000000001</v>
      </c>
      <c r="F117" s="114">
        <v>1.5E-3</v>
      </c>
      <c r="G117" s="115">
        <v>13.32</v>
      </c>
      <c r="H117" s="116">
        <v>0.34</v>
      </c>
      <c r="I117" s="117">
        <v>0.52359999999999995</v>
      </c>
      <c r="J117" s="115">
        <v>1.2E-2</v>
      </c>
      <c r="K117" s="116">
        <v>0.72433000000000003</v>
      </c>
      <c r="M117" s="119">
        <v>2714</v>
      </c>
      <c r="N117" s="118">
        <v>53</v>
      </c>
      <c r="O117" s="119">
        <v>2697</v>
      </c>
      <c r="P117" s="118">
        <v>11</v>
      </c>
      <c r="Q117" s="113">
        <v>-0.4</v>
      </c>
      <c r="R117" s="117">
        <v>2.8E-3</v>
      </c>
      <c r="T117" s="118">
        <v>390</v>
      </c>
      <c r="U117" s="118">
        <v>240</v>
      </c>
      <c r="V117" s="118">
        <v>0.28000000000000003</v>
      </c>
      <c r="W117" s="118">
        <v>0.92</v>
      </c>
      <c r="X117" s="118">
        <v>0.65</v>
      </c>
      <c r="Y117" s="118">
        <v>0.34</v>
      </c>
      <c r="Z117" s="118">
        <v>6.13</v>
      </c>
      <c r="AA117" s="118">
        <v>0.84</v>
      </c>
      <c r="AB117" s="118">
        <v>1.45</v>
      </c>
      <c r="AC117" s="118">
        <v>0.36</v>
      </c>
      <c r="AD117" s="118">
        <v>3050</v>
      </c>
      <c r="AE117" s="118">
        <v>370</v>
      </c>
      <c r="AF117" s="115">
        <v>1.05</v>
      </c>
      <c r="AG117" s="117">
        <v>0.26</v>
      </c>
      <c r="AH117" s="116">
        <v>8</v>
      </c>
      <c r="AI117" s="116">
        <v>1.1000000000000001</v>
      </c>
      <c r="AJ117" s="115">
        <v>0.61</v>
      </c>
      <c r="AK117" s="115">
        <v>0.21</v>
      </c>
      <c r="AL117" s="116">
        <v>5.47</v>
      </c>
      <c r="AM117" s="116">
        <v>0.99</v>
      </c>
      <c r="AN117" s="116">
        <v>12</v>
      </c>
      <c r="AO117" s="116">
        <v>2</v>
      </c>
      <c r="AP117" s="116">
        <v>1.86</v>
      </c>
      <c r="AQ117" s="116">
        <v>0.42</v>
      </c>
      <c r="AR117" s="116">
        <v>74.400000000000006</v>
      </c>
      <c r="AS117" s="113">
        <v>7.7</v>
      </c>
      <c r="AT117" s="116">
        <v>25.7</v>
      </c>
      <c r="AU117" s="116">
        <v>3.2</v>
      </c>
      <c r="AV117" s="119">
        <v>295</v>
      </c>
      <c r="AW117" s="118">
        <v>35</v>
      </c>
      <c r="AX117" s="118">
        <v>108</v>
      </c>
      <c r="AY117" s="118">
        <v>12</v>
      </c>
      <c r="AZ117" s="118">
        <v>485</v>
      </c>
      <c r="BA117" s="118">
        <v>49</v>
      </c>
      <c r="BB117" s="118">
        <v>91</v>
      </c>
      <c r="BC117" s="118">
        <v>10</v>
      </c>
      <c r="BD117" s="118">
        <v>771</v>
      </c>
      <c r="BE117" s="118">
        <v>91</v>
      </c>
      <c r="BF117" s="118">
        <v>152</v>
      </c>
      <c r="BG117" s="118">
        <v>16</v>
      </c>
      <c r="BI117" s="113">
        <v>6.1</v>
      </c>
      <c r="BJ117" s="118">
        <v>1.5</v>
      </c>
      <c r="BK117" s="118">
        <v>513000</v>
      </c>
      <c r="BL117" s="118">
        <v>44000</v>
      </c>
      <c r="BM117" s="118">
        <v>7230</v>
      </c>
      <c r="BN117" s="118">
        <v>650</v>
      </c>
      <c r="BO117" s="119">
        <v>51</v>
      </c>
      <c r="BP117" s="118">
        <v>12</v>
      </c>
      <c r="BQ117" s="119">
        <v>82</v>
      </c>
      <c r="BR117" s="118">
        <v>15</v>
      </c>
      <c r="BT117" s="115"/>
      <c r="BU117" s="116"/>
      <c r="BV117" s="116"/>
      <c r="BW117" s="116"/>
      <c r="BX117" s="119"/>
      <c r="BY117" s="116"/>
      <c r="BZ117" s="117"/>
      <c r="CA117" s="115"/>
      <c r="CB117" s="99"/>
      <c r="CC117" s="99"/>
      <c r="CD117" s="120"/>
      <c r="CE117" s="100"/>
      <c r="CF117" s="100"/>
      <c r="CG117" s="116"/>
      <c r="CH117" s="96"/>
      <c r="CJ117" s="115">
        <f>AF117/CJ$4</f>
        <v>4.4303797468354436</v>
      </c>
      <c r="CK117" s="113">
        <f t="shared" si="111"/>
        <v>13.071895424836601</v>
      </c>
      <c r="CL117" s="113">
        <f t="shared" si="112"/>
        <v>6.4210526315789469</v>
      </c>
      <c r="CM117" s="113">
        <f t="shared" si="113"/>
        <v>11.713062098501069</v>
      </c>
      <c r="CN117" s="113">
        <f t="shared" si="114"/>
        <v>78.431372549019613</v>
      </c>
      <c r="CO117" s="113">
        <f t="shared" si="115"/>
        <v>32.068965517241381</v>
      </c>
      <c r="CP117" s="113">
        <f t="shared" si="116"/>
        <v>362.043795620438</v>
      </c>
      <c r="CQ117" s="113">
        <f t="shared" si="117"/>
        <v>687.16577540106948</v>
      </c>
      <c r="CR117" s="113">
        <f t="shared" si="118"/>
        <v>1161.4173228346456</v>
      </c>
      <c r="CS117" s="113">
        <f t="shared" si="119"/>
        <v>1908.1272084805655</v>
      </c>
      <c r="CT117" s="113">
        <f t="shared" si="120"/>
        <v>2930.5135951661632</v>
      </c>
      <c r="CU117" s="113">
        <f t="shared" si="121"/>
        <v>3568.6274509803925</v>
      </c>
      <c r="CV117" s="113">
        <f t="shared" si="122"/>
        <v>4535.2941176470586</v>
      </c>
      <c r="CW117" s="113">
        <f t="shared" si="123"/>
        <v>5984.251968503937</v>
      </c>
    </row>
    <row r="118" spans="1:101" s="98" customFormat="1">
      <c r="A118" s="3" t="s">
        <v>352</v>
      </c>
      <c r="B118" s="3" t="s">
        <v>268</v>
      </c>
      <c r="C118" s="3"/>
      <c r="D118" s="93">
        <v>7.0039999999999996</v>
      </c>
      <c r="E118" s="94">
        <v>0.1857</v>
      </c>
      <c r="F118" s="94">
        <v>1.1999999999999999E-3</v>
      </c>
      <c r="G118" s="95">
        <v>13.29</v>
      </c>
      <c r="H118" s="96">
        <v>0.34</v>
      </c>
      <c r="I118" s="97">
        <v>0.52</v>
      </c>
      <c r="J118" s="95">
        <v>1.0999999999999999E-2</v>
      </c>
      <c r="K118" s="96">
        <v>0.72087000000000001</v>
      </c>
      <c r="M118" s="99">
        <v>2699</v>
      </c>
      <c r="N118" s="98">
        <v>49</v>
      </c>
      <c r="O118" s="99">
        <v>2704.4</v>
      </c>
      <c r="P118" s="98">
        <v>5.0999999999999996</v>
      </c>
      <c r="Q118" s="93">
        <v>0.19</v>
      </c>
      <c r="R118" s="97">
        <v>2E-3</v>
      </c>
      <c r="T118" s="98">
        <v>450</v>
      </c>
      <c r="U118" s="98">
        <v>170</v>
      </c>
      <c r="V118" s="98" t="s">
        <v>250</v>
      </c>
      <c r="W118" s="98" t="s">
        <v>250</v>
      </c>
      <c r="X118" s="98">
        <v>0.08</v>
      </c>
      <c r="Y118" s="98">
        <v>0.11</v>
      </c>
      <c r="Z118" s="98">
        <v>6.6</v>
      </c>
      <c r="AA118" s="98">
        <v>1.2</v>
      </c>
      <c r="AB118" s="98">
        <v>2.2000000000000002</v>
      </c>
      <c r="AC118" s="98">
        <v>0.59</v>
      </c>
      <c r="AD118" s="98">
        <v>1800</v>
      </c>
      <c r="AE118" s="98">
        <v>190</v>
      </c>
      <c r="AF118" s="95" t="s">
        <v>250</v>
      </c>
      <c r="AG118" s="97" t="s">
        <v>250</v>
      </c>
      <c r="AH118" s="96">
        <v>10.7</v>
      </c>
      <c r="AI118" s="96">
        <v>1.8</v>
      </c>
      <c r="AJ118" s="95">
        <v>7.9000000000000001E-2</v>
      </c>
      <c r="AK118" s="95">
        <v>4.5999999999999999E-2</v>
      </c>
      <c r="AL118" s="96">
        <v>1.7</v>
      </c>
      <c r="AM118" s="96">
        <v>0.89</v>
      </c>
      <c r="AN118" s="96">
        <v>5.0999999999999996</v>
      </c>
      <c r="AO118" s="96">
        <v>1.5</v>
      </c>
      <c r="AP118" s="96">
        <v>1</v>
      </c>
      <c r="AQ118" s="96">
        <v>0.27</v>
      </c>
      <c r="AR118" s="96">
        <v>33.799999999999997</v>
      </c>
      <c r="AS118" s="93">
        <v>5.7</v>
      </c>
      <c r="AT118" s="96">
        <v>12.1</v>
      </c>
      <c r="AU118" s="96">
        <v>1.6</v>
      </c>
      <c r="AV118" s="99">
        <v>166</v>
      </c>
      <c r="AW118" s="98">
        <v>18</v>
      </c>
      <c r="AX118" s="98">
        <v>64</v>
      </c>
      <c r="AY118" s="98">
        <v>7.4</v>
      </c>
      <c r="AZ118" s="98">
        <v>295</v>
      </c>
      <c r="BA118" s="98">
        <v>31</v>
      </c>
      <c r="BB118" s="98">
        <v>60.3</v>
      </c>
      <c r="BC118" s="98">
        <v>7</v>
      </c>
      <c r="BD118" s="98">
        <v>514</v>
      </c>
      <c r="BE118" s="98">
        <v>63</v>
      </c>
      <c r="BF118" s="98">
        <v>98</v>
      </c>
      <c r="BG118" s="98">
        <v>12</v>
      </c>
      <c r="BI118" s="93">
        <v>3.9</v>
      </c>
      <c r="BJ118" s="98">
        <v>2.1</v>
      </c>
      <c r="BK118" s="98">
        <v>483000</v>
      </c>
      <c r="BL118" s="98">
        <v>48000</v>
      </c>
      <c r="BM118" s="98">
        <v>7970</v>
      </c>
      <c r="BN118" s="98">
        <v>990</v>
      </c>
      <c r="BO118" s="99">
        <v>37.6</v>
      </c>
      <c r="BP118" s="98">
        <v>2.9</v>
      </c>
      <c r="BQ118" s="99">
        <v>63.8</v>
      </c>
      <c r="BR118" s="98">
        <v>5.3</v>
      </c>
      <c r="BT118" s="95">
        <f t="shared" si="102"/>
        <v>0.12412451361867703</v>
      </c>
      <c r="BU118" s="96">
        <f t="shared" si="103"/>
        <v>6.2941176470588234</v>
      </c>
      <c r="BV118" s="96">
        <f t="shared" si="104"/>
        <v>60.602258469259723</v>
      </c>
      <c r="BW118" s="96">
        <f t="shared" si="105"/>
        <v>0.58934169278996873</v>
      </c>
      <c r="BX118" s="99"/>
      <c r="BY118" s="96">
        <f t="shared" si="106"/>
        <v>6.2941176470588234</v>
      </c>
      <c r="BZ118" s="97">
        <f t="shared" si="107"/>
        <v>3.4967320261437909E-3</v>
      </c>
      <c r="CA118" s="95">
        <f t="shared" si="108"/>
        <v>0.23285212023978033</v>
      </c>
      <c r="CB118" s="99">
        <f t="shared" si="124"/>
        <v>104.41110003606612</v>
      </c>
      <c r="CC118" s="99">
        <f t="shared" si="124"/>
        <v>8.6736493760368418</v>
      </c>
      <c r="CD118" s="100">
        <f t="shared" si="110"/>
        <v>687.81160422515734</v>
      </c>
      <c r="CE118" s="100">
        <f t="shared" si="125"/>
        <v>722.9268274637484</v>
      </c>
      <c r="CF118" s="100">
        <f t="shared" si="101"/>
        <v>50.441730047502787</v>
      </c>
      <c r="CG118" s="96">
        <f>2.28+3.99*LOG(AH118/((CB118*BI118)^(1/2)))</f>
        <v>1.1806677726033756</v>
      </c>
      <c r="CH118" s="96">
        <f t="shared" si="129"/>
        <v>0.66170731548909212</v>
      </c>
      <c r="CJ118" s="95"/>
      <c r="CK118" s="93">
        <f t="shared" si="111"/>
        <v>17.483660130718953</v>
      </c>
      <c r="CL118" s="93">
        <f t="shared" si="112"/>
        <v>0.83157894736842108</v>
      </c>
      <c r="CM118" s="93">
        <f t="shared" si="113"/>
        <v>3.6402569593147747</v>
      </c>
      <c r="CN118" s="93">
        <f t="shared" si="114"/>
        <v>33.333333333333329</v>
      </c>
      <c r="CO118" s="93">
        <f t="shared" si="115"/>
        <v>17.241379310344826</v>
      </c>
      <c r="CP118" s="93">
        <f t="shared" si="116"/>
        <v>164.47688564476886</v>
      </c>
      <c r="CQ118" s="93">
        <f t="shared" si="117"/>
        <v>323.52941176470586</v>
      </c>
      <c r="CR118" s="93">
        <f t="shared" si="118"/>
        <v>653.54330708661416</v>
      </c>
      <c r="CS118" s="93">
        <f t="shared" si="119"/>
        <v>1130.7420494699647</v>
      </c>
      <c r="CT118" s="93">
        <f t="shared" si="120"/>
        <v>1782.4773413897281</v>
      </c>
      <c r="CU118" s="93">
        <f t="shared" si="121"/>
        <v>2364.7058823529414</v>
      </c>
      <c r="CV118" s="93">
        <f t="shared" si="122"/>
        <v>3023.5294117647059</v>
      </c>
      <c r="CW118" s="93">
        <f t="shared" si="123"/>
        <v>3858.267716535433</v>
      </c>
    </row>
    <row r="119" spans="1:101" s="98" customFormat="1">
      <c r="A119" s="3" t="s">
        <v>353</v>
      </c>
      <c r="B119" s="3" t="s">
        <v>268</v>
      </c>
      <c r="C119" s="3"/>
      <c r="D119" s="93">
        <v>7.0460000000000003</v>
      </c>
      <c r="E119" s="94">
        <v>0.1857</v>
      </c>
      <c r="F119" s="94">
        <v>1.6999999999999999E-3</v>
      </c>
      <c r="G119" s="95">
        <v>13.35</v>
      </c>
      <c r="H119" s="96">
        <v>0.35</v>
      </c>
      <c r="I119" s="97">
        <v>0.52280000000000004</v>
      </c>
      <c r="J119" s="95">
        <v>1.2E-2</v>
      </c>
      <c r="K119" s="96">
        <v>0.55874999999999997</v>
      </c>
      <c r="M119" s="99">
        <v>2711</v>
      </c>
      <c r="N119" s="98">
        <v>49</v>
      </c>
      <c r="O119" s="99">
        <v>2706</v>
      </c>
      <c r="P119" s="98">
        <v>10</v>
      </c>
      <c r="Q119" s="93">
        <v>-0.2</v>
      </c>
      <c r="R119" s="97">
        <v>1.1999999999999999E-3</v>
      </c>
      <c r="T119" s="98">
        <v>330</v>
      </c>
      <c r="U119" s="98">
        <v>270</v>
      </c>
      <c r="V119" s="98" t="s">
        <v>250</v>
      </c>
      <c r="W119" s="98" t="s">
        <v>250</v>
      </c>
      <c r="X119" s="98">
        <v>0.13</v>
      </c>
      <c r="Y119" s="98">
        <v>0.14000000000000001</v>
      </c>
      <c r="Z119" s="98">
        <v>5.7</v>
      </c>
      <c r="AA119" s="98">
        <v>1.1000000000000001</v>
      </c>
      <c r="AB119" s="98">
        <v>2.06</v>
      </c>
      <c r="AC119" s="98">
        <v>0.61</v>
      </c>
      <c r="AD119" s="98">
        <v>1410</v>
      </c>
      <c r="AE119" s="98">
        <v>110</v>
      </c>
      <c r="AF119" s="95" t="s">
        <v>250</v>
      </c>
      <c r="AG119" s="97" t="s">
        <v>250</v>
      </c>
      <c r="AH119" s="96">
        <v>4.9000000000000004</v>
      </c>
      <c r="AI119" s="96">
        <v>0.83</v>
      </c>
      <c r="AJ119" s="95">
        <v>5.6000000000000001E-2</v>
      </c>
      <c r="AK119" s="95">
        <v>2.9000000000000001E-2</v>
      </c>
      <c r="AL119" s="96">
        <v>1.17</v>
      </c>
      <c r="AM119" s="96">
        <v>0.88</v>
      </c>
      <c r="AN119" s="96">
        <v>3.4</v>
      </c>
      <c r="AO119" s="96">
        <v>1.4</v>
      </c>
      <c r="AP119" s="96">
        <v>0.47</v>
      </c>
      <c r="AQ119" s="96">
        <v>0.18</v>
      </c>
      <c r="AR119" s="96">
        <v>19.899999999999999</v>
      </c>
      <c r="AS119" s="93">
        <v>3.4</v>
      </c>
      <c r="AT119" s="96">
        <v>8.61</v>
      </c>
      <c r="AU119" s="96">
        <v>0.83</v>
      </c>
      <c r="AV119" s="99">
        <v>114</v>
      </c>
      <c r="AW119" s="98">
        <v>12</v>
      </c>
      <c r="AX119" s="98">
        <v>48.1</v>
      </c>
      <c r="AY119" s="98">
        <v>5.3</v>
      </c>
      <c r="AZ119" s="98">
        <v>241</v>
      </c>
      <c r="BA119" s="98">
        <v>20</v>
      </c>
      <c r="BB119" s="98">
        <v>52.4</v>
      </c>
      <c r="BC119" s="98">
        <v>6.9</v>
      </c>
      <c r="BD119" s="98">
        <v>470</v>
      </c>
      <c r="BE119" s="98">
        <v>50</v>
      </c>
      <c r="BF119" s="98">
        <v>101</v>
      </c>
      <c r="BG119" s="98">
        <v>10</v>
      </c>
      <c r="BI119" s="93">
        <v>2.1</v>
      </c>
      <c r="BJ119" s="98">
        <v>1.8</v>
      </c>
      <c r="BK119" s="98">
        <v>487000</v>
      </c>
      <c r="BL119" s="98">
        <v>35000</v>
      </c>
      <c r="BM119" s="98">
        <v>7990</v>
      </c>
      <c r="BN119" s="98">
        <v>920</v>
      </c>
      <c r="BO119" s="99">
        <v>18.600000000000001</v>
      </c>
      <c r="BP119" s="98">
        <v>1.2</v>
      </c>
      <c r="BQ119" s="99">
        <v>49</v>
      </c>
      <c r="BR119" s="98">
        <v>3.3</v>
      </c>
      <c r="BT119" s="95">
        <f t="shared" si="102"/>
        <v>0.10425531914893617</v>
      </c>
      <c r="BU119" s="96">
        <f t="shared" si="103"/>
        <v>4.1880341880341883</v>
      </c>
      <c r="BV119" s="96">
        <f t="shared" si="104"/>
        <v>60.951188986232793</v>
      </c>
      <c r="BW119" s="96">
        <f t="shared" si="105"/>
        <v>0.37959183673469393</v>
      </c>
      <c r="BX119" s="99"/>
      <c r="BY119" s="96">
        <f t="shared" si="106"/>
        <v>4.1880341880341883</v>
      </c>
      <c r="BZ119" s="97">
        <f t="shared" si="107"/>
        <v>2.9702370127902044E-3</v>
      </c>
      <c r="CA119" s="95">
        <f t="shared" si="108"/>
        <v>0.17468495251518729</v>
      </c>
      <c r="CB119" s="99">
        <f t="shared" si="124"/>
        <v>80.190343287887785</v>
      </c>
      <c r="CC119" s="99">
        <f t="shared" si="124"/>
        <v>5.4005741397965235</v>
      </c>
      <c r="CD119" s="100">
        <f t="shared" si="110"/>
        <v>638.73147907562372</v>
      </c>
      <c r="CE119" s="100">
        <f t="shared" si="125"/>
        <v>670.29245108962823</v>
      </c>
      <c r="CF119" s="100">
        <f t="shared" si="101"/>
        <v>71.536713589253296</v>
      </c>
      <c r="CG119" s="96">
        <f>2.28+3.99*LOG(AH119/((CB119*BI119)^(1/2)))</f>
        <v>0.59233133136868932</v>
      </c>
      <c r="CH119" s="96">
        <f t="shared" si="129"/>
        <v>0.92556157793508831</v>
      </c>
      <c r="CJ119" s="95"/>
      <c r="CK119" s="93">
        <f t="shared" si="111"/>
        <v>8.0065359477124183</v>
      </c>
      <c r="CL119" s="93">
        <f t="shared" si="112"/>
        <v>0.58947368421052637</v>
      </c>
      <c r="CM119" s="93">
        <f t="shared" si="113"/>
        <v>2.5053533190578157</v>
      </c>
      <c r="CN119" s="93">
        <f t="shared" si="114"/>
        <v>22.222222222222221</v>
      </c>
      <c r="CO119" s="93">
        <f t="shared" si="115"/>
        <v>8.1034482758620676</v>
      </c>
      <c r="CP119" s="93">
        <f t="shared" si="116"/>
        <v>96.836982968369824</v>
      </c>
      <c r="CQ119" s="93">
        <f t="shared" si="117"/>
        <v>230.21390374331548</v>
      </c>
      <c r="CR119" s="93">
        <f t="shared" si="118"/>
        <v>448.81889763779526</v>
      </c>
      <c r="CS119" s="93">
        <f t="shared" si="119"/>
        <v>849.82332155477036</v>
      </c>
      <c r="CT119" s="93">
        <f t="shared" si="120"/>
        <v>1456.1933534743202</v>
      </c>
      <c r="CU119" s="93">
        <f t="shared" si="121"/>
        <v>2054.9019607843138</v>
      </c>
      <c r="CV119" s="93">
        <f t="shared" si="122"/>
        <v>2764.705882352941</v>
      </c>
      <c r="CW119" s="93">
        <f t="shared" si="123"/>
        <v>3976.3779527559059</v>
      </c>
    </row>
    <row r="120" spans="1:101" s="98" customFormat="1">
      <c r="A120" s="3" t="s">
        <v>354</v>
      </c>
      <c r="B120" s="3" t="s">
        <v>268</v>
      </c>
      <c r="C120" s="3"/>
      <c r="D120" s="93">
        <v>7.1340000000000003</v>
      </c>
      <c r="E120" s="94">
        <v>0.18529999999999999</v>
      </c>
      <c r="F120" s="94">
        <v>1.6999999999999999E-3</v>
      </c>
      <c r="G120" s="95">
        <v>13.28</v>
      </c>
      <c r="H120" s="96">
        <v>0.34</v>
      </c>
      <c r="I120" s="97">
        <v>0.52090000000000003</v>
      </c>
      <c r="J120" s="95">
        <v>1.2E-2</v>
      </c>
      <c r="K120" s="96">
        <v>0.47458</v>
      </c>
      <c r="M120" s="99">
        <v>2703</v>
      </c>
      <c r="N120" s="98">
        <v>49</v>
      </c>
      <c r="O120" s="99">
        <v>2701</v>
      </c>
      <c r="P120" s="98">
        <v>11</v>
      </c>
      <c r="Q120" s="93">
        <v>-0.14000000000000001</v>
      </c>
      <c r="R120" s="97">
        <v>2.2000000000000001E-3</v>
      </c>
      <c r="T120" s="98">
        <v>390</v>
      </c>
      <c r="U120" s="98">
        <v>160</v>
      </c>
      <c r="V120" s="98">
        <v>1.6</v>
      </c>
      <c r="W120" s="98">
        <v>1.4</v>
      </c>
      <c r="X120" s="98">
        <v>0.31</v>
      </c>
      <c r="Y120" s="98">
        <v>0.2</v>
      </c>
      <c r="Z120" s="98">
        <v>4.0199999999999996</v>
      </c>
      <c r="AA120" s="98">
        <v>0.97</v>
      </c>
      <c r="AB120" s="98">
        <v>1.1100000000000001</v>
      </c>
      <c r="AC120" s="98">
        <v>0.3</v>
      </c>
      <c r="AD120" s="98">
        <v>2670</v>
      </c>
      <c r="AE120" s="98">
        <v>280</v>
      </c>
      <c r="AF120" s="95">
        <v>7.1999999999999998E-3</v>
      </c>
      <c r="AG120" s="97">
        <v>8.3000000000000001E-3</v>
      </c>
      <c r="AH120" s="96">
        <v>4.71</v>
      </c>
      <c r="AI120" s="96">
        <v>0.57999999999999996</v>
      </c>
      <c r="AJ120" s="95">
        <v>0.183</v>
      </c>
      <c r="AK120" s="95">
        <v>6.8000000000000005E-2</v>
      </c>
      <c r="AL120" s="96">
        <v>3.7</v>
      </c>
      <c r="AM120" s="96">
        <v>1.1000000000000001</v>
      </c>
      <c r="AN120" s="96">
        <v>8.4</v>
      </c>
      <c r="AO120" s="96">
        <v>1.2</v>
      </c>
      <c r="AP120" s="96">
        <v>1.84</v>
      </c>
      <c r="AQ120" s="96">
        <v>0.31</v>
      </c>
      <c r="AR120" s="96">
        <v>62.4</v>
      </c>
      <c r="AS120" s="93">
        <v>8.8000000000000007</v>
      </c>
      <c r="AT120" s="96">
        <v>23.1</v>
      </c>
      <c r="AU120" s="96">
        <v>2.6</v>
      </c>
      <c r="AV120" s="99">
        <v>287</v>
      </c>
      <c r="AW120" s="98">
        <v>34</v>
      </c>
      <c r="AX120" s="98">
        <v>105</v>
      </c>
      <c r="AY120" s="98">
        <v>12</v>
      </c>
      <c r="AZ120" s="98">
        <v>480</v>
      </c>
      <c r="BA120" s="98">
        <v>51</v>
      </c>
      <c r="BB120" s="98">
        <v>90</v>
      </c>
      <c r="BC120" s="98">
        <v>10</v>
      </c>
      <c r="BD120" s="98">
        <v>763</v>
      </c>
      <c r="BE120" s="98">
        <v>91</v>
      </c>
      <c r="BF120" s="98">
        <v>151</v>
      </c>
      <c r="BG120" s="98">
        <v>19</v>
      </c>
      <c r="BI120" s="93">
        <v>3.4</v>
      </c>
      <c r="BJ120" s="98">
        <v>2.2999999999999998</v>
      </c>
      <c r="BK120" s="98">
        <v>527000</v>
      </c>
      <c r="BL120" s="98">
        <v>50000</v>
      </c>
      <c r="BM120" s="98">
        <v>8440</v>
      </c>
      <c r="BN120" s="98">
        <v>930</v>
      </c>
      <c r="BO120" s="99">
        <v>39.9</v>
      </c>
      <c r="BP120" s="98">
        <v>3.4</v>
      </c>
      <c r="BQ120" s="99">
        <v>62.8</v>
      </c>
      <c r="BR120" s="98">
        <v>5.3</v>
      </c>
      <c r="BT120" s="95">
        <f t="shared" si="102"/>
        <v>8.2306684141546529E-2</v>
      </c>
      <c r="BU120" s="96">
        <f t="shared" si="103"/>
        <v>1.2729729729729728</v>
      </c>
      <c r="BV120" s="96">
        <f t="shared" si="104"/>
        <v>62.440758293838861</v>
      </c>
      <c r="BW120" s="96">
        <f t="shared" si="105"/>
        <v>0.63535031847133761</v>
      </c>
      <c r="BX120" s="99">
        <f t="shared" ref="BX120:BX130" si="130">CK120/SQRT(CJ120*CL120)</f>
        <v>31.813662358476357</v>
      </c>
      <c r="BY120" s="96">
        <f t="shared" si="106"/>
        <v>1.2729729729729728</v>
      </c>
      <c r="BZ120" s="97">
        <f t="shared" si="107"/>
        <v>4.7676890373519581E-4</v>
      </c>
      <c r="CA120" s="95">
        <f t="shared" si="108"/>
        <v>0.24570246870318072</v>
      </c>
      <c r="CB120" s="99">
        <f t="shared" si="124"/>
        <v>102.77456241794596</v>
      </c>
      <c r="CC120" s="99">
        <f t="shared" si="124"/>
        <v>8.6736493760368418</v>
      </c>
      <c r="CD120" s="100">
        <f t="shared" si="110"/>
        <v>676.4833566445285</v>
      </c>
      <c r="CE120" s="100">
        <f t="shared" si="125"/>
        <v>710.76078596039724</v>
      </c>
      <c r="CF120" s="100">
        <f t="shared" si="101"/>
        <v>61.422942979394712</v>
      </c>
      <c r="CG120" s="96">
        <f>2.28+3.99*LOG(AH120/((CB120*BI120)^(1/2)))</f>
        <v>-0.10865886460473595</v>
      </c>
      <c r="CH120" s="96">
        <f t="shared" si="129"/>
        <v>0.71857830388469246</v>
      </c>
      <c r="CJ120" s="95">
        <f t="shared" ref="CJ120:CJ130" si="131">AF120/CJ$4</f>
        <v>3.037974683544304E-2</v>
      </c>
      <c r="CK120" s="93">
        <f t="shared" si="111"/>
        <v>7.6960784313725492</v>
      </c>
      <c r="CL120" s="93">
        <f t="shared" si="112"/>
        <v>1.9263157894736842</v>
      </c>
      <c r="CM120" s="93">
        <f t="shared" si="113"/>
        <v>7.9229122055674521</v>
      </c>
      <c r="CN120" s="93">
        <f t="shared" si="114"/>
        <v>54.901960784313729</v>
      </c>
      <c r="CO120" s="93">
        <f t="shared" si="115"/>
        <v>31.724137931034484</v>
      </c>
      <c r="CP120" s="93">
        <f t="shared" si="116"/>
        <v>303.64963503649636</v>
      </c>
      <c r="CQ120" s="93">
        <f t="shared" si="117"/>
        <v>617.64705882352939</v>
      </c>
      <c r="CR120" s="93">
        <f t="shared" si="118"/>
        <v>1129.9212598425197</v>
      </c>
      <c r="CS120" s="93">
        <f t="shared" si="119"/>
        <v>1855.1236749116608</v>
      </c>
      <c r="CT120" s="93">
        <f t="shared" si="120"/>
        <v>2900.302114803625</v>
      </c>
      <c r="CU120" s="93">
        <f t="shared" si="121"/>
        <v>3529.4117647058824</v>
      </c>
      <c r="CV120" s="93">
        <f t="shared" si="122"/>
        <v>4488.2352941176468</v>
      </c>
      <c r="CW120" s="93">
        <f t="shared" si="123"/>
        <v>5944.8818897637793</v>
      </c>
    </row>
    <row r="121" spans="1:101" s="118" customFormat="1">
      <c r="A121" s="111" t="s">
        <v>355</v>
      </c>
      <c r="B121" s="111" t="s">
        <v>268</v>
      </c>
      <c r="C121" s="111"/>
      <c r="D121" s="113">
        <v>7.0860000000000003</v>
      </c>
      <c r="E121" s="114">
        <v>0.18559999999999999</v>
      </c>
      <c r="F121" s="114">
        <v>1.2999999999999999E-3</v>
      </c>
      <c r="G121" s="115">
        <v>13.35</v>
      </c>
      <c r="H121" s="116">
        <v>0.34</v>
      </c>
      <c r="I121" s="117">
        <v>0.52270000000000005</v>
      </c>
      <c r="J121" s="115">
        <v>1.0999999999999999E-2</v>
      </c>
      <c r="K121" s="116">
        <v>0.63190000000000002</v>
      </c>
      <c r="M121" s="119">
        <v>2710.4</v>
      </c>
      <c r="N121" s="118">
        <v>48</v>
      </c>
      <c r="O121" s="119">
        <v>2703.2</v>
      </c>
      <c r="P121" s="118">
        <v>6.8</v>
      </c>
      <c r="Q121" s="113">
        <v>-0.3</v>
      </c>
      <c r="R121" s="117">
        <v>5.1000000000000004E-4</v>
      </c>
      <c r="T121" s="118">
        <v>1100</v>
      </c>
      <c r="U121" s="118">
        <v>270</v>
      </c>
      <c r="V121" s="118" t="s">
        <v>250</v>
      </c>
      <c r="W121" s="118" t="s">
        <v>250</v>
      </c>
      <c r="X121" s="118">
        <v>1.05</v>
      </c>
      <c r="Y121" s="118">
        <v>0.56000000000000005</v>
      </c>
      <c r="Z121" s="118">
        <v>3.64</v>
      </c>
      <c r="AA121" s="118">
        <v>0.77</v>
      </c>
      <c r="AB121" s="118">
        <v>1.36</v>
      </c>
      <c r="AC121" s="118">
        <v>0.62</v>
      </c>
      <c r="AD121" s="118">
        <v>2920</v>
      </c>
      <c r="AE121" s="118">
        <v>250</v>
      </c>
      <c r="AF121" s="115">
        <v>3.8</v>
      </c>
      <c r="AG121" s="117">
        <v>1.1000000000000001</v>
      </c>
      <c r="AH121" s="116">
        <v>15.6</v>
      </c>
      <c r="AI121" s="116">
        <v>3.7</v>
      </c>
      <c r="AJ121" s="115">
        <v>1.82</v>
      </c>
      <c r="AK121" s="115">
        <v>0.46</v>
      </c>
      <c r="AL121" s="116">
        <v>11.6</v>
      </c>
      <c r="AM121" s="116">
        <v>3.5</v>
      </c>
      <c r="AN121" s="116">
        <v>10.199999999999999</v>
      </c>
      <c r="AO121" s="116">
        <v>2</v>
      </c>
      <c r="AP121" s="116">
        <v>2.25</v>
      </c>
      <c r="AQ121" s="116">
        <v>0.38</v>
      </c>
      <c r="AR121" s="116">
        <v>62.7</v>
      </c>
      <c r="AS121" s="113">
        <v>7.4</v>
      </c>
      <c r="AT121" s="116">
        <v>23.6</v>
      </c>
      <c r="AU121" s="116">
        <v>2.9</v>
      </c>
      <c r="AV121" s="119">
        <v>283</v>
      </c>
      <c r="AW121" s="118">
        <v>32</v>
      </c>
      <c r="AX121" s="118">
        <v>107</v>
      </c>
      <c r="AY121" s="118">
        <v>12</v>
      </c>
      <c r="AZ121" s="118">
        <v>499</v>
      </c>
      <c r="BA121" s="118">
        <v>47</v>
      </c>
      <c r="BB121" s="118">
        <v>91.3</v>
      </c>
      <c r="BC121" s="118">
        <v>9.3000000000000007</v>
      </c>
      <c r="BD121" s="118">
        <v>793</v>
      </c>
      <c r="BE121" s="118">
        <v>80</v>
      </c>
      <c r="BF121" s="118">
        <v>152</v>
      </c>
      <c r="BG121" s="118">
        <v>16</v>
      </c>
      <c r="BI121" s="113">
        <v>5.4</v>
      </c>
      <c r="BJ121" s="118">
        <v>1.6</v>
      </c>
      <c r="BK121" s="118">
        <v>508000</v>
      </c>
      <c r="BL121" s="118">
        <v>33000</v>
      </c>
      <c r="BM121" s="118">
        <v>8110</v>
      </c>
      <c r="BN121" s="118">
        <v>840</v>
      </c>
      <c r="BO121" s="119">
        <v>51.9</v>
      </c>
      <c r="BP121" s="118">
        <v>3.8</v>
      </c>
      <c r="BQ121" s="119">
        <v>74.900000000000006</v>
      </c>
      <c r="BR121" s="118">
        <v>5.2</v>
      </c>
      <c r="BT121" s="115"/>
      <c r="BU121" s="116"/>
      <c r="BV121" s="116"/>
      <c r="BW121" s="116"/>
      <c r="BX121" s="119"/>
      <c r="BY121" s="116"/>
      <c r="BZ121" s="117"/>
      <c r="CA121" s="115"/>
      <c r="CB121" s="99"/>
      <c r="CC121" s="99"/>
      <c r="CD121" s="120"/>
      <c r="CE121" s="100"/>
      <c r="CF121" s="100"/>
      <c r="CG121" s="116"/>
      <c r="CH121" s="96"/>
      <c r="CJ121" s="115">
        <f t="shared" si="131"/>
        <v>16.033755274261605</v>
      </c>
      <c r="CK121" s="113">
        <f t="shared" si="111"/>
        <v>25.490196078431371</v>
      </c>
      <c r="CL121" s="113">
        <f t="shared" si="112"/>
        <v>19.157894736842106</v>
      </c>
      <c r="CM121" s="113">
        <f t="shared" si="113"/>
        <v>24.839400428265524</v>
      </c>
      <c r="CN121" s="113">
        <f t="shared" si="114"/>
        <v>66.666666666666657</v>
      </c>
      <c r="CO121" s="113">
        <f t="shared" si="115"/>
        <v>38.793103448275858</v>
      </c>
      <c r="CP121" s="113">
        <f t="shared" si="116"/>
        <v>305.1094890510949</v>
      </c>
      <c r="CQ121" s="113">
        <f t="shared" si="117"/>
        <v>631.01604278074865</v>
      </c>
      <c r="CR121" s="113">
        <f t="shared" si="118"/>
        <v>1114.1732283464567</v>
      </c>
      <c r="CS121" s="113">
        <f t="shared" si="119"/>
        <v>1890.4593639575974</v>
      </c>
      <c r="CT121" s="113">
        <f t="shared" si="120"/>
        <v>3015.1057401812686</v>
      </c>
      <c r="CU121" s="113">
        <f t="shared" si="121"/>
        <v>3580.3921568627452</v>
      </c>
      <c r="CV121" s="113">
        <f t="shared" si="122"/>
        <v>4664.7058823529405</v>
      </c>
      <c r="CW121" s="113">
        <f t="shared" si="123"/>
        <v>5984.251968503937</v>
      </c>
    </row>
    <row r="122" spans="1:101" s="98" customFormat="1">
      <c r="A122" s="3" t="s">
        <v>356</v>
      </c>
      <c r="B122" s="3" t="s">
        <v>268</v>
      </c>
      <c r="C122" s="3"/>
      <c r="D122" s="93">
        <v>7.0510000000000002</v>
      </c>
      <c r="E122" s="94">
        <v>0.18429999999999999</v>
      </c>
      <c r="F122" s="94">
        <v>1.8E-3</v>
      </c>
      <c r="G122" s="95">
        <v>13.4</v>
      </c>
      <c r="H122" s="96">
        <v>0.35</v>
      </c>
      <c r="I122" s="97">
        <v>0.53059999999999996</v>
      </c>
      <c r="J122" s="95">
        <v>1.2E-2</v>
      </c>
      <c r="K122" s="96">
        <v>0.69330000000000003</v>
      </c>
      <c r="M122" s="99">
        <v>2744</v>
      </c>
      <c r="N122" s="98">
        <v>49</v>
      </c>
      <c r="O122" s="99">
        <v>2694</v>
      </c>
      <c r="P122" s="98">
        <v>12</v>
      </c>
      <c r="Q122" s="93">
        <v>-1.84</v>
      </c>
      <c r="R122" s="97">
        <v>0</v>
      </c>
      <c r="T122" s="98">
        <v>260</v>
      </c>
      <c r="U122" s="98">
        <v>130</v>
      </c>
      <c r="V122" s="98" t="s">
        <v>250</v>
      </c>
      <c r="W122" s="98" t="s">
        <v>250</v>
      </c>
      <c r="X122" s="98">
        <v>0.13</v>
      </c>
      <c r="Y122" s="98">
        <v>0.19</v>
      </c>
      <c r="Z122" s="98">
        <v>3.32</v>
      </c>
      <c r="AA122" s="98">
        <v>0.97</v>
      </c>
      <c r="AB122" s="98">
        <v>1.1499999999999999</v>
      </c>
      <c r="AC122" s="98">
        <v>0.54</v>
      </c>
      <c r="AD122" s="98">
        <v>1970</v>
      </c>
      <c r="AE122" s="98">
        <v>200</v>
      </c>
      <c r="AF122" s="95">
        <v>7.4999999999999997E-3</v>
      </c>
      <c r="AG122" s="97">
        <v>8.5000000000000006E-3</v>
      </c>
      <c r="AH122" s="96">
        <v>4.3</v>
      </c>
      <c r="AI122" s="96">
        <v>1.1000000000000001</v>
      </c>
      <c r="AJ122" s="95">
        <v>7.1999999999999995E-2</v>
      </c>
      <c r="AK122" s="95">
        <v>3.1E-2</v>
      </c>
      <c r="AL122" s="96">
        <v>1.69</v>
      </c>
      <c r="AM122" s="96">
        <v>0.51</v>
      </c>
      <c r="AN122" s="96">
        <v>6</v>
      </c>
      <c r="AO122" s="96">
        <v>1.2</v>
      </c>
      <c r="AP122" s="96">
        <v>0.83</v>
      </c>
      <c r="AQ122" s="96">
        <v>0.31</v>
      </c>
      <c r="AR122" s="96">
        <v>43.5</v>
      </c>
      <c r="AS122" s="93">
        <v>5.3</v>
      </c>
      <c r="AT122" s="96">
        <v>14.9</v>
      </c>
      <c r="AU122" s="96">
        <v>1.4</v>
      </c>
      <c r="AV122" s="99">
        <v>192</v>
      </c>
      <c r="AW122" s="98">
        <v>15</v>
      </c>
      <c r="AX122" s="98">
        <v>69.5</v>
      </c>
      <c r="AY122" s="98">
        <v>5.0999999999999996</v>
      </c>
      <c r="AZ122" s="98">
        <v>310</v>
      </c>
      <c r="BA122" s="98">
        <v>28</v>
      </c>
      <c r="BB122" s="98">
        <v>62.6</v>
      </c>
      <c r="BC122" s="98">
        <v>4</v>
      </c>
      <c r="BD122" s="98">
        <v>547</v>
      </c>
      <c r="BE122" s="98">
        <v>54</v>
      </c>
      <c r="BF122" s="98">
        <v>106.4</v>
      </c>
      <c r="BG122" s="98">
        <v>9.4</v>
      </c>
      <c r="BI122" s="93">
        <v>4.5999999999999996</v>
      </c>
      <c r="BJ122" s="98">
        <v>1.6</v>
      </c>
      <c r="BK122" s="98">
        <v>508000</v>
      </c>
      <c r="BL122" s="98">
        <v>49000</v>
      </c>
      <c r="BM122" s="98">
        <v>8180</v>
      </c>
      <c r="BN122" s="98">
        <v>580</v>
      </c>
      <c r="BO122" s="99">
        <v>28.5</v>
      </c>
      <c r="BP122" s="98">
        <v>1.7</v>
      </c>
      <c r="BQ122" s="99">
        <v>48.6</v>
      </c>
      <c r="BR122" s="98">
        <v>2.9</v>
      </c>
      <c r="BT122" s="95">
        <f t="shared" si="102"/>
        <v>8.8848263254113352E-2</v>
      </c>
      <c r="BU122" s="96">
        <f t="shared" si="103"/>
        <v>2.5443786982248522</v>
      </c>
      <c r="BV122" s="96">
        <f t="shared" si="104"/>
        <v>62.10268948655257</v>
      </c>
      <c r="BW122" s="96">
        <f t="shared" si="105"/>
        <v>0.58641975308641969</v>
      </c>
      <c r="BX122" s="99">
        <f t="shared" si="130"/>
        <v>45.368678485612861</v>
      </c>
      <c r="BY122" s="96">
        <f t="shared" si="106"/>
        <v>2.5443786982248522</v>
      </c>
      <c r="BZ122" s="97">
        <f t="shared" si="107"/>
        <v>1.2915627909770822E-3</v>
      </c>
      <c r="CA122" s="95">
        <f t="shared" si="108"/>
        <v>0.15706574320816161</v>
      </c>
      <c r="CB122" s="99">
        <f t="shared" si="124"/>
        <v>79.535728240639713</v>
      </c>
      <c r="CC122" s="99">
        <f t="shared" si="124"/>
        <v>4.7459590925484605</v>
      </c>
      <c r="CD122" s="100">
        <f t="shared" si="110"/>
        <v>701.80514273689687</v>
      </c>
      <c r="CE122" s="100">
        <f t="shared" si="125"/>
        <v>737.96975311523488</v>
      </c>
      <c r="CF122" s="100">
        <f t="shared" si="101"/>
        <v>34.51803854803827</v>
      </c>
      <c r="CG122" s="96">
        <f t="shared" ref="CG122:CG130" si="132">2.28+3.99*LOG(AH122/((CB122*BI122)^(1/2)))</f>
        <v>-0.30628444891449158</v>
      </c>
      <c r="CH122" s="96">
        <f t="shared" si="129"/>
        <v>0.60107308309446339</v>
      </c>
      <c r="CJ122" s="95">
        <f t="shared" si="131"/>
        <v>3.1645569620253167E-2</v>
      </c>
      <c r="CK122" s="93">
        <f t="shared" si="111"/>
        <v>7.0261437908496731</v>
      </c>
      <c r="CL122" s="93">
        <f t="shared" si="112"/>
        <v>0.75789473684210518</v>
      </c>
      <c r="CM122" s="93">
        <f t="shared" si="113"/>
        <v>3.6188436830835116</v>
      </c>
      <c r="CN122" s="93">
        <f t="shared" si="114"/>
        <v>39.215686274509807</v>
      </c>
      <c r="CO122" s="93">
        <f t="shared" si="115"/>
        <v>14.310344827586205</v>
      </c>
      <c r="CP122" s="93">
        <f t="shared" si="116"/>
        <v>211.67883211678833</v>
      </c>
      <c r="CQ122" s="93">
        <f t="shared" si="117"/>
        <v>398.39572192513367</v>
      </c>
      <c r="CR122" s="93">
        <f t="shared" si="118"/>
        <v>755.90551181102364</v>
      </c>
      <c r="CS122" s="93">
        <f t="shared" si="119"/>
        <v>1227.9151943462898</v>
      </c>
      <c r="CT122" s="93">
        <f t="shared" si="120"/>
        <v>1873.1117824773412</v>
      </c>
      <c r="CU122" s="93">
        <f t="shared" si="121"/>
        <v>2454.9019607843138</v>
      </c>
      <c r="CV122" s="93">
        <f t="shared" si="122"/>
        <v>3217.6470588235293</v>
      </c>
      <c r="CW122" s="93">
        <f t="shared" si="123"/>
        <v>4188.9763779527566</v>
      </c>
    </row>
    <row r="123" spans="1:101" s="98" customFormat="1">
      <c r="A123" s="3" t="s">
        <v>357</v>
      </c>
      <c r="B123" s="3" t="s">
        <v>268</v>
      </c>
      <c r="C123" s="3"/>
      <c r="D123" s="93">
        <v>7.0529999999999999</v>
      </c>
      <c r="E123" s="94">
        <v>0.18529999999999999</v>
      </c>
      <c r="F123" s="94">
        <v>1.2999999999999999E-3</v>
      </c>
      <c r="G123" s="95">
        <v>13.38</v>
      </c>
      <c r="H123" s="96">
        <v>0.34</v>
      </c>
      <c r="I123" s="97">
        <v>0.52500000000000002</v>
      </c>
      <c r="J123" s="95">
        <v>1.0999999999999999E-2</v>
      </c>
      <c r="K123" s="96">
        <v>0.83277999999999996</v>
      </c>
      <c r="M123" s="99">
        <v>2720.2</v>
      </c>
      <c r="N123" s="98">
        <v>48</v>
      </c>
      <c r="O123" s="99">
        <v>2700.5</v>
      </c>
      <c r="P123" s="98">
        <v>5.3</v>
      </c>
      <c r="Q123" s="93">
        <v>-0.74</v>
      </c>
      <c r="R123" s="97">
        <v>-4.0999999999999999E-4</v>
      </c>
      <c r="T123" s="98">
        <v>430</v>
      </c>
      <c r="U123" s="98">
        <v>200</v>
      </c>
      <c r="V123" s="98" t="s">
        <v>250</v>
      </c>
      <c r="W123" s="98" t="s">
        <v>250</v>
      </c>
      <c r="X123" s="98">
        <v>0.23</v>
      </c>
      <c r="Y123" s="98">
        <v>0.22</v>
      </c>
      <c r="Z123" s="98">
        <v>4.83</v>
      </c>
      <c r="AA123" s="98">
        <v>0.87</v>
      </c>
      <c r="AB123" s="98">
        <v>1.61</v>
      </c>
      <c r="AC123" s="98">
        <v>0.5</v>
      </c>
      <c r="AD123" s="98">
        <v>1950</v>
      </c>
      <c r="AE123" s="98">
        <v>180</v>
      </c>
      <c r="AF123" s="95">
        <v>0.16300000000000001</v>
      </c>
      <c r="AG123" s="97">
        <v>5.8000000000000003E-2</v>
      </c>
      <c r="AH123" s="96">
        <v>9.6999999999999993</v>
      </c>
      <c r="AI123" s="96">
        <v>1.2</v>
      </c>
      <c r="AJ123" s="95">
        <v>0.184</v>
      </c>
      <c r="AK123" s="95">
        <v>4.7E-2</v>
      </c>
      <c r="AL123" s="96">
        <v>2.31</v>
      </c>
      <c r="AM123" s="96">
        <v>0.88</v>
      </c>
      <c r="AN123" s="96">
        <v>4.6100000000000003</v>
      </c>
      <c r="AO123" s="96">
        <v>0.85</v>
      </c>
      <c r="AP123" s="96">
        <v>0.96</v>
      </c>
      <c r="AQ123" s="96">
        <v>0.33</v>
      </c>
      <c r="AR123" s="96">
        <v>39.1</v>
      </c>
      <c r="AS123" s="93">
        <v>4.5999999999999996</v>
      </c>
      <c r="AT123" s="96">
        <v>14.9</v>
      </c>
      <c r="AU123" s="96">
        <v>1.6</v>
      </c>
      <c r="AV123" s="99">
        <v>191</v>
      </c>
      <c r="AW123" s="98">
        <v>19</v>
      </c>
      <c r="AX123" s="98">
        <v>69.8</v>
      </c>
      <c r="AY123" s="98">
        <v>7.3</v>
      </c>
      <c r="AZ123" s="98">
        <v>338</v>
      </c>
      <c r="BA123" s="98">
        <v>28</v>
      </c>
      <c r="BB123" s="98">
        <v>63.6</v>
      </c>
      <c r="BC123" s="98">
        <v>6.3</v>
      </c>
      <c r="BD123" s="98">
        <v>563</v>
      </c>
      <c r="BE123" s="98">
        <v>44</v>
      </c>
      <c r="BF123" s="98">
        <v>112</v>
      </c>
      <c r="BG123" s="98">
        <v>12</v>
      </c>
      <c r="BI123" s="93">
        <v>7.9</v>
      </c>
      <c r="BJ123" s="98">
        <v>3.3</v>
      </c>
      <c r="BK123" s="98">
        <v>504000</v>
      </c>
      <c r="BL123" s="98">
        <v>36000</v>
      </c>
      <c r="BM123" s="98">
        <v>7940</v>
      </c>
      <c r="BN123" s="98">
        <v>730</v>
      </c>
      <c r="BO123" s="99">
        <v>59.9</v>
      </c>
      <c r="BP123" s="98">
        <v>3.7</v>
      </c>
      <c r="BQ123" s="99">
        <v>79.099999999999994</v>
      </c>
      <c r="BR123" s="98">
        <v>4.9000000000000004</v>
      </c>
      <c r="BT123" s="95">
        <f t="shared" si="102"/>
        <v>0.14049733570159856</v>
      </c>
      <c r="BU123" s="96">
        <f t="shared" si="103"/>
        <v>4.1991341991341988</v>
      </c>
      <c r="BV123" s="96">
        <f t="shared" si="104"/>
        <v>63.476070528967256</v>
      </c>
      <c r="BW123" s="96">
        <f t="shared" si="105"/>
        <v>0.75726927939317323</v>
      </c>
      <c r="BX123" s="99">
        <f t="shared" si="130"/>
        <v>13.732625418183373</v>
      </c>
      <c r="BY123" s="96">
        <f t="shared" si="106"/>
        <v>4.1991341991341988</v>
      </c>
      <c r="BZ123" s="97">
        <f t="shared" si="107"/>
        <v>2.1534021534021534E-3</v>
      </c>
      <c r="CA123" s="95">
        <f t="shared" si="108"/>
        <v>0.21860295414482697</v>
      </c>
      <c r="CB123" s="99">
        <f t="shared" si="124"/>
        <v>129.45012559330453</v>
      </c>
      <c r="CC123" s="99">
        <f t="shared" si="124"/>
        <v>8.0190343287887789</v>
      </c>
      <c r="CD123" s="100">
        <f t="shared" si="110"/>
        <v>750.64596765218948</v>
      </c>
      <c r="CE123" s="100">
        <f t="shared" si="125"/>
        <v>790.59894206794013</v>
      </c>
      <c r="CF123" s="100">
        <f t="shared" si="101"/>
        <v>44.808836295901088</v>
      </c>
      <c r="CG123" s="96">
        <f t="shared" si="132"/>
        <v>0.21280873272599488</v>
      </c>
      <c r="CH123" s="96">
        <f t="shared" si="129"/>
        <v>0.48032143439670633</v>
      </c>
      <c r="CJ123" s="95">
        <f t="shared" si="131"/>
        <v>0.68776371308016881</v>
      </c>
      <c r="CK123" s="93">
        <f t="shared" si="111"/>
        <v>15.849673202614378</v>
      </c>
      <c r="CL123" s="93">
        <f t="shared" si="112"/>
        <v>1.9368421052631579</v>
      </c>
      <c r="CM123" s="93">
        <f t="shared" si="113"/>
        <v>4.9464668094218416</v>
      </c>
      <c r="CN123" s="93">
        <f t="shared" si="114"/>
        <v>30.130718954248369</v>
      </c>
      <c r="CO123" s="93">
        <f t="shared" si="115"/>
        <v>16.551724137931032</v>
      </c>
      <c r="CP123" s="93">
        <f t="shared" si="116"/>
        <v>190.26763990267642</v>
      </c>
      <c r="CQ123" s="93">
        <f t="shared" si="117"/>
        <v>398.39572192513367</v>
      </c>
      <c r="CR123" s="93">
        <f t="shared" si="118"/>
        <v>751.96850393700788</v>
      </c>
      <c r="CS123" s="93">
        <f t="shared" si="119"/>
        <v>1233.2155477031802</v>
      </c>
      <c r="CT123" s="93">
        <f t="shared" si="120"/>
        <v>2042.2960725075527</v>
      </c>
      <c r="CU123" s="93">
        <f t="shared" si="121"/>
        <v>2494.1176470588239</v>
      </c>
      <c r="CV123" s="93">
        <f t="shared" si="122"/>
        <v>3311.7647058823527</v>
      </c>
      <c r="CW123" s="93">
        <f t="shared" si="123"/>
        <v>4409.4488188976384</v>
      </c>
    </row>
    <row r="124" spans="1:101" s="98" customFormat="1">
      <c r="A124" s="3" t="s">
        <v>358</v>
      </c>
      <c r="B124" s="3" t="s">
        <v>268</v>
      </c>
      <c r="C124" s="3"/>
      <c r="D124" s="93">
        <v>7.0069999999999997</v>
      </c>
      <c r="E124" s="94">
        <v>0.18609999999999999</v>
      </c>
      <c r="F124" s="94">
        <v>1.4E-3</v>
      </c>
      <c r="G124" s="95">
        <v>13.21</v>
      </c>
      <c r="H124" s="96">
        <v>0.34</v>
      </c>
      <c r="I124" s="97">
        <v>0.51600000000000001</v>
      </c>
      <c r="J124" s="95">
        <v>1.0999999999999999E-2</v>
      </c>
      <c r="K124" s="96">
        <v>0.74539</v>
      </c>
      <c r="M124" s="99">
        <v>2682</v>
      </c>
      <c r="N124" s="98">
        <v>49</v>
      </c>
      <c r="O124" s="99">
        <v>2707.9</v>
      </c>
      <c r="P124" s="98">
        <v>6.2</v>
      </c>
      <c r="Q124" s="93">
        <v>0.95</v>
      </c>
      <c r="R124" s="97">
        <v>3.5000000000000001E-3</v>
      </c>
      <c r="T124" s="98">
        <v>290</v>
      </c>
      <c r="U124" s="98">
        <v>200</v>
      </c>
      <c r="V124" s="98" t="s">
        <v>250</v>
      </c>
      <c r="W124" s="98" t="s">
        <v>250</v>
      </c>
      <c r="X124" s="98">
        <v>0.23</v>
      </c>
      <c r="Y124" s="98">
        <v>0.22</v>
      </c>
      <c r="Z124" s="98">
        <v>3.4</v>
      </c>
      <c r="AA124" s="98">
        <v>1</v>
      </c>
      <c r="AB124" s="98">
        <v>0.83</v>
      </c>
      <c r="AC124" s="98">
        <v>0.37</v>
      </c>
      <c r="AD124" s="98">
        <v>2710</v>
      </c>
      <c r="AE124" s="98">
        <v>310</v>
      </c>
      <c r="AF124" s="95">
        <v>1.0200000000000001E-2</v>
      </c>
      <c r="AG124" s="97">
        <v>9.5999999999999992E-3</v>
      </c>
      <c r="AH124" s="96">
        <v>4.16</v>
      </c>
      <c r="AI124" s="96">
        <v>0.75</v>
      </c>
      <c r="AJ124" s="95">
        <v>0.17199999999999999</v>
      </c>
      <c r="AK124" s="95">
        <v>0.08</v>
      </c>
      <c r="AL124" s="96">
        <v>3.38</v>
      </c>
      <c r="AM124" s="96">
        <v>0.43</v>
      </c>
      <c r="AN124" s="96">
        <v>8.5</v>
      </c>
      <c r="AO124" s="96">
        <v>1.1000000000000001</v>
      </c>
      <c r="AP124" s="96">
        <v>1.88</v>
      </c>
      <c r="AQ124" s="96">
        <v>0.42</v>
      </c>
      <c r="AR124" s="96">
        <v>61</v>
      </c>
      <c r="AS124" s="93">
        <v>9.6</v>
      </c>
      <c r="AT124" s="96">
        <v>20.6</v>
      </c>
      <c r="AU124" s="96">
        <v>2.4</v>
      </c>
      <c r="AV124" s="99">
        <v>259</v>
      </c>
      <c r="AW124" s="98">
        <v>28</v>
      </c>
      <c r="AX124" s="98">
        <v>94.8</v>
      </c>
      <c r="AY124" s="98">
        <v>9.3000000000000007</v>
      </c>
      <c r="AZ124" s="98">
        <v>444</v>
      </c>
      <c r="BA124" s="98">
        <v>54</v>
      </c>
      <c r="BB124" s="98">
        <v>86.7</v>
      </c>
      <c r="BC124" s="98">
        <v>9.8000000000000007</v>
      </c>
      <c r="BD124" s="98">
        <v>726</v>
      </c>
      <c r="BE124" s="98">
        <v>93</v>
      </c>
      <c r="BF124" s="98">
        <v>145</v>
      </c>
      <c r="BG124" s="98">
        <v>20</v>
      </c>
      <c r="BI124" s="93">
        <v>5.6</v>
      </c>
      <c r="BJ124" s="98">
        <v>2.1</v>
      </c>
      <c r="BK124" s="98">
        <v>519000</v>
      </c>
      <c r="BL124" s="98">
        <v>47000</v>
      </c>
      <c r="BM124" s="98">
        <v>8040</v>
      </c>
      <c r="BN124" s="98">
        <v>930</v>
      </c>
      <c r="BO124" s="99">
        <v>37.5</v>
      </c>
      <c r="BP124" s="98">
        <v>3.2</v>
      </c>
      <c r="BQ124" s="99">
        <v>58.9</v>
      </c>
      <c r="BR124" s="98">
        <v>5</v>
      </c>
      <c r="BT124" s="95">
        <f t="shared" si="102"/>
        <v>8.1129476584022031E-2</v>
      </c>
      <c r="BU124" s="96">
        <f t="shared" si="103"/>
        <v>1.2307692307692308</v>
      </c>
      <c r="BV124" s="96">
        <f t="shared" si="104"/>
        <v>64.552238805970148</v>
      </c>
      <c r="BW124" s="96">
        <f t="shared" si="105"/>
        <v>0.63667232597623091</v>
      </c>
      <c r="BX124" s="99">
        <f t="shared" si="130"/>
        <v>24.350819124166968</v>
      </c>
      <c r="BY124" s="96">
        <f t="shared" si="106"/>
        <v>1.2307692307692308</v>
      </c>
      <c r="BZ124" s="97">
        <f t="shared" si="107"/>
        <v>4.5415838773772357E-4</v>
      </c>
      <c r="CA124" s="95">
        <f t="shared" si="108"/>
        <v>0.25241031792916735</v>
      </c>
      <c r="CB124" s="99">
        <f t="shared" si="124"/>
        <v>96.392065707277354</v>
      </c>
      <c r="CC124" s="99">
        <f t="shared" si="124"/>
        <v>8.1826880906007933</v>
      </c>
      <c r="CD124" s="100">
        <f t="shared" si="110"/>
        <v>719.02151121268412</v>
      </c>
      <c r="CE124" s="100">
        <f t="shared" si="125"/>
        <v>756.4991820815161</v>
      </c>
      <c r="CF124" s="100">
        <f t="shared" si="101"/>
        <v>38.204459935755274</v>
      </c>
      <c r="CG124" s="96">
        <f t="shared" si="132"/>
        <v>-0.70061509307096026</v>
      </c>
      <c r="CH124" s="96">
        <f t="shared" si="129"/>
        <v>0.50258165528982779</v>
      </c>
      <c r="CJ124" s="95">
        <f t="shared" si="131"/>
        <v>4.3037974683544311E-2</v>
      </c>
      <c r="CK124" s="93">
        <f t="shared" si="111"/>
        <v>6.7973856209150334</v>
      </c>
      <c r="CL124" s="93">
        <f t="shared" si="112"/>
        <v>1.8105263157894735</v>
      </c>
      <c r="CM124" s="93">
        <f t="shared" si="113"/>
        <v>7.2376873661670231</v>
      </c>
      <c r="CN124" s="93">
        <f t="shared" si="114"/>
        <v>55.555555555555557</v>
      </c>
      <c r="CO124" s="93">
        <f t="shared" si="115"/>
        <v>32.41379310344827</v>
      </c>
      <c r="CP124" s="93">
        <f t="shared" si="116"/>
        <v>296.83698296836985</v>
      </c>
      <c r="CQ124" s="93">
        <f t="shared" si="117"/>
        <v>550.80213903743311</v>
      </c>
      <c r="CR124" s="93">
        <f t="shared" si="118"/>
        <v>1019.6850393700787</v>
      </c>
      <c r="CS124" s="93">
        <f t="shared" si="119"/>
        <v>1674.9116607773851</v>
      </c>
      <c r="CT124" s="93">
        <f t="shared" si="120"/>
        <v>2682.7794561933533</v>
      </c>
      <c r="CU124" s="93">
        <f t="shared" si="121"/>
        <v>3400.0000000000005</v>
      </c>
      <c r="CV124" s="93">
        <f t="shared" si="122"/>
        <v>4270.5882352941171</v>
      </c>
      <c r="CW124" s="93">
        <f t="shared" si="123"/>
        <v>5708.6614173228345</v>
      </c>
    </row>
    <row r="125" spans="1:101" s="98" customFormat="1">
      <c r="A125" s="3" t="s">
        <v>359</v>
      </c>
      <c r="B125" s="3" t="s">
        <v>268</v>
      </c>
      <c r="C125" s="3"/>
      <c r="D125" s="93">
        <v>7.048</v>
      </c>
      <c r="E125" s="94">
        <v>0.18809999999999999</v>
      </c>
      <c r="F125" s="94">
        <v>2.7000000000000001E-3</v>
      </c>
      <c r="G125" s="95">
        <v>13.48</v>
      </c>
      <c r="H125" s="96">
        <v>0.4</v>
      </c>
      <c r="I125" s="97">
        <v>0.52110000000000001</v>
      </c>
      <c r="J125" s="95">
        <v>1.2E-2</v>
      </c>
      <c r="K125" s="96">
        <v>0.62902999999999998</v>
      </c>
      <c r="M125" s="99">
        <v>2703</v>
      </c>
      <c r="N125" s="98">
        <v>51</v>
      </c>
      <c r="O125" s="99">
        <v>2724</v>
      </c>
      <c r="P125" s="98">
        <v>16</v>
      </c>
      <c r="Q125" s="93">
        <v>0.74</v>
      </c>
      <c r="R125" s="97">
        <v>4.4999999999999997E-3</v>
      </c>
      <c r="T125" s="98">
        <v>270</v>
      </c>
      <c r="U125" s="98">
        <v>250</v>
      </c>
      <c r="V125" s="98">
        <v>0.1</v>
      </c>
      <c r="W125" s="98">
        <v>1.2</v>
      </c>
      <c r="X125" s="98">
        <v>0.3</v>
      </c>
      <c r="Y125" s="98">
        <v>0.25</v>
      </c>
      <c r="Z125" s="98">
        <v>3.4</v>
      </c>
      <c r="AA125" s="98">
        <v>1.1000000000000001</v>
      </c>
      <c r="AB125" s="98">
        <v>1.17</v>
      </c>
      <c r="AC125" s="98">
        <v>0.44</v>
      </c>
      <c r="AD125" s="98">
        <v>807</v>
      </c>
      <c r="AE125" s="98">
        <v>59</v>
      </c>
      <c r="AF125" s="95">
        <v>1.2E-2</v>
      </c>
      <c r="AG125" s="97">
        <v>1.2999999999999999E-2</v>
      </c>
      <c r="AH125" s="96">
        <v>4.54</v>
      </c>
      <c r="AI125" s="96">
        <v>0.8</v>
      </c>
      <c r="AJ125" s="95">
        <v>8.0000000000000002E-3</v>
      </c>
      <c r="AK125" s="95">
        <v>1.0999999999999999E-2</v>
      </c>
      <c r="AL125" s="96">
        <v>0.82</v>
      </c>
      <c r="AM125" s="96">
        <v>0.45</v>
      </c>
      <c r="AN125" s="96">
        <v>1.92</v>
      </c>
      <c r="AO125" s="96">
        <v>0.77</v>
      </c>
      <c r="AP125" s="96">
        <v>0.28999999999999998</v>
      </c>
      <c r="AQ125" s="96">
        <v>0.11</v>
      </c>
      <c r="AR125" s="96">
        <v>16.100000000000001</v>
      </c>
      <c r="AS125" s="93">
        <v>4.4000000000000004</v>
      </c>
      <c r="AT125" s="96">
        <v>5.93</v>
      </c>
      <c r="AU125" s="96">
        <v>0.95</v>
      </c>
      <c r="AV125" s="99">
        <v>71.599999999999994</v>
      </c>
      <c r="AW125" s="98">
        <v>7</v>
      </c>
      <c r="AX125" s="98">
        <v>30</v>
      </c>
      <c r="AY125" s="98">
        <v>3.6</v>
      </c>
      <c r="AZ125" s="98">
        <v>145</v>
      </c>
      <c r="BA125" s="98">
        <v>20</v>
      </c>
      <c r="BB125" s="98">
        <v>30.2</v>
      </c>
      <c r="BC125" s="98">
        <v>3.4</v>
      </c>
      <c r="BD125" s="98">
        <v>276</v>
      </c>
      <c r="BE125" s="98">
        <v>35</v>
      </c>
      <c r="BF125" s="98">
        <v>51.8</v>
      </c>
      <c r="BG125" s="98">
        <v>6.5</v>
      </c>
      <c r="BI125" s="93">
        <v>4.0999999999999996</v>
      </c>
      <c r="BJ125" s="98">
        <v>2.1</v>
      </c>
      <c r="BK125" s="98">
        <v>528000</v>
      </c>
      <c r="BL125" s="98">
        <v>57000</v>
      </c>
      <c r="BM125" s="98">
        <v>9100</v>
      </c>
      <c r="BN125" s="98">
        <v>1100</v>
      </c>
      <c r="BO125" s="99">
        <v>14.5</v>
      </c>
      <c r="BP125" s="98">
        <v>1</v>
      </c>
      <c r="BQ125" s="99">
        <v>32.700000000000003</v>
      </c>
      <c r="BR125" s="98">
        <v>2.4</v>
      </c>
      <c r="BT125" s="95">
        <f t="shared" si="102"/>
        <v>0.11847826086956523</v>
      </c>
      <c r="BU125" s="96">
        <f t="shared" si="103"/>
        <v>5.536585365853659</v>
      </c>
      <c r="BV125" s="96">
        <f t="shared" si="104"/>
        <v>58.021978021978022</v>
      </c>
      <c r="BW125" s="96">
        <f t="shared" si="105"/>
        <v>0.44342507645259938</v>
      </c>
      <c r="BX125" s="99">
        <f t="shared" si="130"/>
        <v>113.6069210488475</v>
      </c>
      <c r="BY125" s="96">
        <f t="shared" si="106"/>
        <v>5.536585365853659</v>
      </c>
      <c r="BZ125" s="97">
        <f t="shared" si="107"/>
        <v>6.8607005772659962E-3</v>
      </c>
      <c r="CA125" s="95">
        <f t="shared" si="108"/>
        <v>0.15946232079917302</v>
      </c>
      <c r="CB125" s="99">
        <f t="shared" si="124"/>
        <v>53.514780112529195</v>
      </c>
      <c r="CC125" s="99">
        <f t="shared" si="124"/>
        <v>3.9276902834883809</v>
      </c>
      <c r="CD125" s="100">
        <f t="shared" si="110"/>
        <v>692.00830658480822</v>
      </c>
      <c r="CE125" s="100">
        <f t="shared" si="125"/>
        <v>727.43656310118683</v>
      </c>
      <c r="CF125" s="100">
        <f t="shared" si="101"/>
        <v>48.498475655491056</v>
      </c>
      <c r="CG125" s="96">
        <f t="shared" si="132"/>
        <v>0.23084393689267513</v>
      </c>
      <c r="CH125" s="96">
        <f t="shared" si="129"/>
        <v>0.62278020852677951</v>
      </c>
      <c r="CJ125" s="95">
        <f t="shared" si="131"/>
        <v>5.0632911392405069E-2</v>
      </c>
      <c r="CK125" s="93">
        <f t="shared" si="111"/>
        <v>7.4183006535947715</v>
      </c>
      <c r="CL125" s="93">
        <f t="shared" si="112"/>
        <v>8.4210526315789472E-2</v>
      </c>
      <c r="CM125" s="93">
        <f t="shared" si="113"/>
        <v>1.7558886509635971</v>
      </c>
      <c r="CN125" s="93">
        <f t="shared" si="114"/>
        <v>12.549019607843137</v>
      </c>
      <c r="CO125" s="93">
        <f t="shared" si="115"/>
        <v>4.9999999999999991</v>
      </c>
      <c r="CP125" s="93">
        <f t="shared" si="116"/>
        <v>78.345498783455</v>
      </c>
      <c r="CQ125" s="93">
        <f t="shared" si="117"/>
        <v>158.5561497326203</v>
      </c>
      <c r="CR125" s="93">
        <f t="shared" si="118"/>
        <v>281.88976377952753</v>
      </c>
      <c r="CS125" s="93">
        <f t="shared" si="119"/>
        <v>530.03533568904595</v>
      </c>
      <c r="CT125" s="93">
        <f t="shared" si="120"/>
        <v>876.13293051359517</v>
      </c>
      <c r="CU125" s="93">
        <f t="shared" si="121"/>
        <v>1184.313725490196</v>
      </c>
      <c r="CV125" s="93">
        <f t="shared" si="122"/>
        <v>1623.5294117647059</v>
      </c>
      <c r="CW125" s="93">
        <f t="shared" si="123"/>
        <v>2039.3700787401574</v>
      </c>
    </row>
    <row r="126" spans="1:101" s="98" customFormat="1">
      <c r="A126" s="3" t="s">
        <v>360</v>
      </c>
      <c r="B126" s="3" t="s">
        <v>268</v>
      </c>
      <c r="C126" s="3"/>
      <c r="D126" s="93">
        <v>7.0039999999999996</v>
      </c>
      <c r="E126" s="94">
        <v>0.18770000000000001</v>
      </c>
      <c r="F126" s="94">
        <v>3.8999999999999998E-3</v>
      </c>
      <c r="G126" s="95">
        <v>13.42</v>
      </c>
      <c r="H126" s="96">
        <v>0.41</v>
      </c>
      <c r="I126" s="97">
        <v>0.51959999999999995</v>
      </c>
      <c r="J126" s="95">
        <v>1.2E-2</v>
      </c>
      <c r="K126" s="96">
        <v>-3.9909E-2</v>
      </c>
      <c r="M126" s="99">
        <v>2698</v>
      </c>
      <c r="N126" s="98">
        <v>50</v>
      </c>
      <c r="O126" s="99">
        <v>2726</v>
      </c>
      <c r="P126" s="98">
        <v>27</v>
      </c>
      <c r="Q126" s="93">
        <v>1</v>
      </c>
      <c r="R126" s="97">
        <v>6.8999999999999999E-3</v>
      </c>
      <c r="T126" s="98">
        <v>180</v>
      </c>
      <c r="U126" s="98">
        <v>210</v>
      </c>
      <c r="V126" s="98">
        <v>0.7</v>
      </c>
      <c r="W126" s="98">
        <v>0.95</v>
      </c>
      <c r="X126" s="98">
        <v>0.22</v>
      </c>
      <c r="Y126" s="98">
        <v>0.28000000000000003</v>
      </c>
      <c r="Z126" s="98">
        <v>3.49</v>
      </c>
      <c r="AA126" s="98">
        <v>0.67</v>
      </c>
      <c r="AB126" s="98">
        <v>0.47</v>
      </c>
      <c r="AC126" s="98">
        <v>0.32</v>
      </c>
      <c r="AD126" s="98">
        <v>930</v>
      </c>
      <c r="AE126" s="98">
        <v>110</v>
      </c>
      <c r="AF126" s="95">
        <v>0.35499999999999998</v>
      </c>
      <c r="AG126" s="97">
        <v>0.08</v>
      </c>
      <c r="AH126" s="96">
        <v>2.85</v>
      </c>
      <c r="AI126" s="96">
        <v>0.57999999999999996</v>
      </c>
      <c r="AJ126" s="95">
        <v>0.13500000000000001</v>
      </c>
      <c r="AK126" s="95">
        <v>7.6999999999999999E-2</v>
      </c>
      <c r="AL126" s="96">
        <v>1.45</v>
      </c>
      <c r="AM126" s="96">
        <v>0.67</v>
      </c>
      <c r="AN126" s="96">
        <v>1.9</v>
      </c>
      <c r="AO126" s="96">
        <v>1</v>
      </c>
      <c r="AP126" s="96">
        <v>0.42</v>
      </c>
      <c r="AQ126" s="96">
        <v>0.15</v>
      </c>
      <c r="AR126" s="96">
        <v>13.2</v>
      </c>
      <c r="AS126" s="93">
        <v>3.1</v>
      </c>
      <c r="AT126" s="96">
        <v>6.2</v>
      </c>
      <c r="AU126" s="96">
        <v>1.4</v>
      </c>
      <c r="AV126" s="99">
        <v>85</v>
      </c>
      <c r="AW126" s="98">
        <v>11</v>
      </c>
      <c r="AX126" s="98">
        <v>32.299999999999997</v>
      </c>
      <c r="AY126" s="98">
        <v>4.4000000000000004</v>
      </c>
      <c r="AZ126" s="98">
        <v>152</v>
      </c>
      <c r="BA126" s="98">
        <v>20</v>
      </c>
      <c r="BB126" s="98">
        <v>30.7</v>
      </c>
      <c r="BC126" s="98">
        <v>4.4000000000000004</v>
      </c>
      <c r="BD126" s="98">
        <v>286</v>
      </c>
      <c r="BE126" s="98">
        <v>35</v>
      </c>
      <c r="BF126" s="98">
        <v>60.1</v>
      </c>
      <c r="BG126" s="98">
        <v>7.6</v>
      </c>
      <c r="BI126" s="93">
        <v>7</v>
      </c>
      <c r="BJ126" s="98">
        <v>2.8</v>
      </c>
      <c r="BK126" s="98">
        <v>538000</v>
      </c>
      <c r="BL126" s="98">
        <v>46000</v>
      </c>
      <c r="BM126" s="98">
        <v>8540</v>
      </c>
      <c r="BN126" s="98">
        <v>930</v>
      </c>
      <c r="BO126" s="99">
        <v>9.6999999999999993</v>
      </c>
      <c r="BP126" s="98">
        <v>1.2</v>
      </c>
      <c r="BQ126" s="99">
        <v>23.7</v>
      </c>
      <c r="BR126" s="98">
        <v>2.2999999999999998</v>
      </c>
      <c r="BT126" s="95">
        <f t="shared" si="102"/>
        <v>8.2867132867132862E-2</v>
      </c>
      <c r="BU126" s="96">
        <f t="shared" si="103"/>
        <v>1.9655172413793105</v>
      </c>
      <c r="BV126" s="96">
        <f t="shared" si="104"/>
        <v>62.997658079625296</v>
      </c>
      <c r="BW126" s="96">
        <f t="shared" si="105"/>
        <v>0.40928270042194093</v>
      </c>
      <c r="BX126" s="99">
        <f t="shared" si="130"/>
        <v>3.1918932088737533</v>
      </c>
      <c r="BY126" s="96">
        <f t="shared" si="106"/>
        <v>1.9655172413793105</v>
      </c>
      <c r="BZ126" s="97">
        <f t="shared" si="107"/>
        <v>2.113459399332592E-3</v>
      </c>
      <c r="CA126" s="95">
        <f t="shared" si="108"/>
        <v>0.25639476833098102</v>
      </c>
      <c r="CB126" s="99">
        <f t="shared" si="124"/>
        <v>38.785941549447763</v>
      </c>
      <c r="CC126" s="99">
        <f t="shared" si="124"/>
        <v>3.7640365216763647</v>
      </c>
      <c r="CD126" s="100">
        <f t="shared" si="110"/>
        <v>739.30248567452486</v>
      </c>
      <c r="CE126" s="100">
        <f t="shared" si="125"/>
        <v>778.35813374744305</v>
      </c>
      <c r="CF126" s="100">
        <f t="shared" si="101"/>
        <v>42.134408423334548</v>
      </c>
      <c r="CG126" s="96">
        <f t="shared" si="132"/>
        <v>-0.76054490397867047</v>
      </c>
      <c r="CH126" s="96">
        <f t="shared" si="129"/>
        <v>0.56084388423764142</v>
      </c>
      <c r="CJ126" s="95">
        <f t="shared" si="131"/>
        <v>1.4978902953586497</v>
      </c>
      <c r="CK126" s="93">
        <f t="shared" si="111"/>
        <v>4.6568627450980395</v>
      </c>
      <c r="CL126" s="93">
        <f t="shared" si="112"/>
        <v>1.4210526315789473</v>
      </c>
      <c r="CM126" s="93">
        <f t="shared" si="113"/>
        <v>3.1049250535331905</v>
      </c>
      <c r="CN126" s="93">
        <f t="shared" si="114"/>
        <v>12.418300653594772</v>
      </c>
      <c r="CO126" s="93">
        <f t="shared" si="115"/>
        <v>7.2413793103448265</v>
      </c>
      <c r="CP126" s="93">
        <f t="shared" si="116"/>
        <v>64.233576642335763</v>
      </c>
      <c r="CQ126" s="93">
        <f t="shared" si="117"/>
        <v>165.77540106951872</v>
      </c>
      <c r="CR126" s="93">
        <f t="shared" si="118"/>
        <v>334.64566929133861</v>
      </c>
      <c r="CS126" s="93">
        <f t="shared" si="119"/>
        <v>570.67137809187273</v>
      </c>
      <c r="CT126" s="93">
        <f t="shared" si="120"/>
        <v>918.42900302114799</v>
      </c>
      <c r="CU126" s="93">
        <f t="shared" si="121"/>
        <v>1203.9215686274511</v>
      </c>
      <c r="CV126" s="93">
        <f t="shared" si="122"/>
        <v>1682.3529411764705</v>
      </c>
      <c r="CW126" s="93">
        <f t="shared" si="123"/>
        <v>2366.1417322834645</v>
      </c>
    </row>
    <row r="127" spans="1:101" s="98" customFormat="1">
      <c r="A127" s="3" t="s">
        <v>361</v>
      </c>
      <c r="B127" s="3" t="s">
        <v>268</v>
      </c>
      <c r="C127" s="3"/>
      <c r="D127" s="93">
        <v>7.0030000000000001</v>
      </c>
      <c r="E127" s="94">
        <v>0.185</v>
      </c>
      <c r="F127" s="94">
        <v>1.9E-3</v>
      </c>
      <c r="G127" s="95">
        <v>13.19</v>
      </c>
      <c r="H127" s="96">
        <v>0.35</v>
      </c>
      <c r="I127" s="97">
        <v>0.51819999999999999</v>
      </c>
      <c r="J127" s="95">
        <v>1.2E-2</v>
      </c>
      <c r="K127" s="96">
        <v>0.58528999999999998</v>
      </c>
      <c r="M127" s="99">
        <v>2691</v>
      </c>
      <c r="N127" s="98">
        <v>49</v>
      </c>
      <c r="O127" s="99">
        <v>2698.4</v>
      </c>
      <c r="P127" s="98">
        <v>9.4</v>
      </c>
      <c r="Q127" s="93">
        <v>0.25</v>
      </c>
      <c r="R127" s="97">
        <v>2.8E-3</v>
      </c>
      <c r="T127" s="98">
        <v>350</v>
      </c>
      <c r="U127" s="98">
        <v>140</v>
      </c>
      <c r="V127" s="98">
        <v>0.21</v>
      </c>
      <c r="W127" s="98">
        <v>0.93</v>
      </c>
      <c r="X127" s="98">
        <v>0.1</v>
      </c>
      <c r="Y127" s="98">
        <v>0.13</v>
      </c>
      <c r="Z127" s="98">
        <v>4.7</v>
      </c>
      <c r="AA127" s="98">
        <v>1</v>
      </c>
      <c r="AB127" s="98">
        <v>1.31</v>
      </c>
      <c r="AC127" s="98">
        <v>0.28000000000000003</v>
      </c>
      <c r="AD127" s="98">
        <v>1330</v>
      </c>
      <c r="AE127" s="98">
        <v>150</v>
      </c>
      <c r="AF127" s="95">
        <v>7.7000000000000002E-3</v>
      </c>
      <c r="AG127" s="97">
        <v>8.8999999999999999E-3</v>
      </c>
      <c r="AH127" s="96">
        <v>6.73</v>
      </c>
      <c r="AI127" s="96">
        <v>0.84</v>
      </c>
      <c r="AJ127" s="95">
        <v>4.2000000000000003E-2</v>
      </c>
      <c r="AK127" s="95">
        <v>2.5000000000000001E-2</v>
      </c>
      <c r="AL127" s="96">
        <v>1.28</v>
      </c>
      <c r="AM127" s="96">
        <v>0.46</v>
      </c>
      <c r="AN127" s="96">
        <v>3.03</v>
      </c>
      <c r="AO127" s="96">
        <v>0.74</v>
      </c>
      <c r="AP127" s="96">
        <v>0.59</v>
      </c>
      <c r="AQ127" s="96">
        <v>0.19</v>
      </c>
      <c r="AR127" s="96">
        <v>25.4</v>
      </c>
      <c r="AS127" s="93">
        <v>4.4000000000000004</v>
      </c>
      <c r="AT127" s="96">
        <v>10.199999999999999</v>
      </c>
      <c r="AU127" s="96">
        <v>1.6</v>
      </c>
      <c r="AV127" s="99">
        <v>120</v>
      </c>
      <c r="AW127" s="98">
        <v>14</v>
      </c>
      <c r="AX127" s="98">
        <v>48.5</v>
      </c>
      <c r="AY127" s="98">
        <v>3.2</v>
      </c>
      <c r="AZ127" s="98">
        <v>228</v>
      </c>
      <c r="BA127" s="98">
        <v>18</v>
      </c>
      <c r="BB127" s="98">
        <v>44.7</v>
      </c>
      <c r="BC127" s="98">
        <v>4.4000000000000004</v>
      </c>
      <c r="BD127" s="98">
        <v>386</v>
      </c>
      <c r="BE127" s="98">
        <v>40</v>
      </c>
      <c r="BF127" s="98">
        <v>76.099999999999994</v>
      </c>
      <c r="BG127" s="98">
        <v>5.5</v>
      </c>
      <c r="BI127" s="93">
        <v>5.0999999999999996</v>
      </c>
      <c r="BJ127" s="98">
        <v>2.5</v>
      </c>
      <c r="BK127" s="98">
        <v>550000</v>
      </c>
      <c r="BL127" s="98">
        <v>60000</v>
      </c>
      <c r="BM127" s="98">
        <v>8630</v>
      </c>
      <c r="BN127" s="98">
        <v>880</v>
      </c>
      <c r="BO127" s="99">
        <v>24.5</v>
      </c>
      <c r="BP127" s="98">
        <v>1.8</v>
      </c>
      <c r="BQ127" s="99">
        <v>45.3</v>
      </c>
      <c r="BR127" s="98">
        <v>3.3</v>
      </c>
      <c r="BT127" s="95">
        <f t="shared" si="102"/>
        <v>0.11735751295336787</v>
      </c>
      <c r="BU127" s="96">
        <f t="shared" si="103"/>
        <v>5.2578125</v>
      </c>
      <c r="BV127" s="96">
        <f t="shared" si="104"/>
        <v>63.731170336037081</v>
      </c>
      <c r="BW127" s="96">
        <f t="shared" si="105"/>
        <v>0.54083885209713023</v>
      </c>
      <c r="BX127" s="99">
        <f t="shared" si="130"/>
        <v>91.754972616654953</v>
      </c>
      <c r="BY127" s="96">
        <f t="shared" si="106"/>
        <v>5.2578125</v>
      </c>
      <c r="BZ127" s="97">
        <f t="shared" si="107"/>
        <v>3.9532424812030072E-3</v>
      </c>
      <c r="CA127" s="95">
        <f t="shared" si="108"/>
        <v>0.20560680005773088</v>
      </c>
      <c r="CB127" s="99">
        <f t="shared" si="124"/>
        <v>74.135154100843181</v>
      </c>
      <c r="CC127" s="99">
        <f t="shared" si="124"/>
        <v>5.4005741397965235</v>
      </c>
      <c r="CD127" s="100">
        <f t="shared" si="110"/>
        <v>710.76078596039724</v>
      </c>
      <c r="CE127" s="100">
        <f t="shared" si="125"/>
        <v>747.60539625019237</v>
      </c>
      <c r="CF127" s="100">
        <f t="shared" si="101"/>
        <v>48.269767213997248</v>
      </c>
      <c r="CG127" s="96">
        <f t="shared" si="132"/>
        <v>0.44147933662865912</v>
      </c>
      <c r="CH127" s="96">
        <f t="shared" si="129"/>
        <v>0.55667685156786928</v>
      </c>
      <c r="CJ127" s="95">
        <f t="shared" si="131"/>
        <v>3.2489451476793253E-2</v>
      </c>
      <c r="CK127" s="93">
        <f t="shared" si="111"/>
        <v>10.996732026143793</v>
      </c>
      <c r="CL127" s="93">
        <f t="shared" si="112"/>
        <v>0.44210526315789478</v>
      </c>
      <c r="CM127" s="93">
        <f t="shared" si="113"/>
        <v>2.7408993576017129</v>
      </c>
      <c r="CN127" s="93">
        <f t="shared" si="114"/>
        <v>19.803921568627452</v>
      </c>
      <c r="CO127" s="93">
        <f t="shared" si="115"/>
        <v>10.172413793103447</v>
      </c>
      <c r="CP127" s="93">
        <f t="shared" si="116"/>
        <v>123.60097323600974</v>
      </c>
      <c r="CQ127" s="93">
        <f t="shared" si="117"/>
        <v>272.72727272727269</v>
      </c>
      <c r="CR127" s="93">
        <f t="shared" si="118"/>
        <v>472.44094488188978</v>
      </c>
      <c r="CS127" s="93">
        <f t="shared" si="119"/>
        <v>856.89045936395769</v>
      </c>
      <c r="CT127" s="93">
        <f t="shared" si="120"/>
        <v>1377.6435045317219</v>
      </c>
      <c r="CU127" s="93">
        <f t="shared" si="121"/>
        <v>1752.9411764705885</v>
      </c>
      <c r="CV127" s="93">
        <f t="shared" si="122"/>
        <v>2270.5882352941176</v>
      </c>
      <c r="CW127" s="93">
        <f t="shared" si="123"/>
        <v>2996.0629921259842</v>
      </c>
    </row>
    <row r="128" spans="1:101" s="98" customFormat="1">
      <c r="A128" s="3" t="s">
        <v>362</v>
      </c>
      <c r="B128" s="3" t="s">
        <v>268</v>
      </c>
      <c r="C128" s="3"/>
      <c r="D128" s="93">
        <v>7.0330000000000004</v>
      </c>
      <c r="E128" s="94">
        <v>0.1862</v>
      </c>
      <c r="F128" s="94">
        <v>1.1000000000000001E-3</v>
      </c>
      <c r="G128" s="95">
        <v>13.648999999999999</v>
      </c>
      <c r="H128" s="96">
        <v>0.34</v>
      </c>
      <c r="I128" s="97">
        <v>0.53280000000000005</v>
      </c>
      <c r="J128" s="95">
        <v>1.0999999999999999E-2</v>
      </c>
      <c r="K128" s="96">
        <v>0.47649999999999998</v>
      </c>
      <c r="M128" s="99">
        <v>2753.3</v>
      </c>
      <c r="N128" s="98">
        <v>48</v>
      </c>
      <c r="O128" s="99">
        <v>2708.6</v>
      </c>
      <c r="P128" s="98">
        <v>6.2</v>
      </c>
      <c r="Q128" s="93">
        <v>-1.65</v>
      </c>
      <c r="R128" s="97">
        <v>0</v>
      </c>
      <c r="T128" s="98">
        <v>560</v>
      </c>
      <c r="U128" s="98">
        <v>190</v>
      </c>
      <c r="V128" s="98">
        <v>1.3</v>
      </c>
      <c r="W128" s="98">
        <v>1.3</v>
      </c>
      <c r="X128" s="98">
        <v>0.33</v>
      </c>
      <c r="Y128" s="98">
        <v>0.25</v>
      </c>
      <c r="Z128" s="98">
        <v>5.2</v>
      </c>
      <c r="AA128" s="98">
        <v>1.4</v>
      </c>
      <c r="AB128" s="98">
        <v>1.1499999999999999</v>
      </c>
      <c r="AC128" s="98">
        <v>0.34</v>
      </c>
      <c r="AD128" s="98">
        <v>3040</v>
      </c>
      <c r="AE128" s="98">
        <v>270</v>
      </c>
      <c r="AF128" s="95">
        <v>0.55000000000000004</v>
      </c>
      <c r="AG128" s="97">
        <v>0.13</v>
      </c>
      <c r="AH128" s="96">
        <v>14.5</v>
      </c>
      <c r="AI128" s="96">
        <v>2.2999999999999998</v>
      </c>
      <c r="AJ128" s="95">
        <v>0.6</v>
      </c>
      <c r="AK128" s="95">
        <v>0.17</v>
      </c>
      <c r="AL128" s="96">
        <v>6.4</v>
      </c>
      <c r="AM128" s="96">
        <v>1.8</v>
      </c>
      <c r="AN128" s="96">
        <v>10.3</v>
      </c>
      <c r="AO128" s="96">
        <v>3.1</v>
      </c>
      <c r="AP128" s="96">
        <v>1.59</v>
      </c>
      <c r="AQ128" s="96">
        <v>0.31</v>
      </c>
      <c r="AR128" s="96">
        <v>68.2</v>
      </c>
      <c r="AS128" s="93">
        <v>6.6</v>
      </c>
      <c r="AT128" s="96">
        <v>24.6</v>
      </c>
      <c r="AU128" s="96">
        <v>2.8</v>
      </c>
      <c r="AV128" s="99">
        <v>303</v>
      </c>
      <c r="AW128" s="98">
        <v>33</v>
      </c>
      <c r="AX128" s="98">
        <v>107.9</v>
      </c>
      <c r="AY128" s="98">
        <v>9.9</v>
      </c>
      <c r="AZ128" s="98">
        <v>513</v>
      </c>
      <c r="BA128" s="98">
        <v>47</v>
      </c>
      <c r="BB128" s="98">
        <v>98</v>
      </c>
      <c r="BC128" s="98">
        <v>11</v>
      </c>
      <c r="BD128" s="98">
        <v>807</v>
      </c>
      <c r="BE128" s="98">
        <v>95</v>
      </c>
      <c r="BF128" s="98">
        <v>148</v>
      </c>
      <c r="BG128" s="98">
        <v>15</v>
      </c>
      <c r="BI128" s="93">
        <v>4.4000000000000004</v>
      </c>
      <c r="BJ128" s="98">
        <v>3.2</v>
      </c>
      <c r="BK128" s="98">
        <v>494000</v>
      </c>
      <c r="BL128" s="98">
        <v>51000</v>
      </c>
      <c r="BM128" s="98">
        <v>8050</v>
      </c>
      <c r="BN128" s="98">
        <v>770</v>
      </c>
      <c r="BO128" s="99">
        <v>50.4</v>
      </c>
      <c r="BP128" s="98">
        <v>4.3</v>
      </c>
      <c r="BQ128" s="99">
        <v>74.2</v>
      </c>
      <c r="BR128" s="98">
        <v>6.4</v>
      </c>
      <c r="BT128" s="95">
        <f t="shared" si="102"/>
        <v>9.1945477075588603E-2</v>
      </c>
      <c r="BU128" s="96">
        <f t="shared" si="103"/>
        <v>2.265625</v>
      </c>
      <c r="BV128" s="96">
        <f t="shared" si="104"/>
        <v>61.366459627329192</v>
      </c>
      <c r="BW128" s="96">
        <f t="shared" si="105"/>
        <v>0.67924528301886788</v>
      </c>
      <c r="BX128" s="99">
        <f t="shared" si="130"/>
        <v>6.188645212039801</v>
      </c>
      <c r="BY128" s="96">
        <f t="shared" si="106"/>
        <v>2.265625</v>
      </c>
      <c r="BZ128" s="97">
        <f t="shared" si="107"/>
        <v>7.4527138157894741E-4</v>
      </c>
      <c r="CA128" s="95">
        <f t="shared" si="108"/>
        <v>0.18340448830543216</v>
      </c>
      <c r="CB128" s="99">
        <f t="shared" si="124"/>
        <v>121.43109126451579</v>
      </c>
      <c r="CC128" s="99">
        <f t="shared" si="124"/>
        <v>10.473840755969016</v>
      </c>
      <c r="CD128" s="100">
        <f t="shared" si="110"/>
        <v>697.99710088852146</v>
      </c>
      <c r="CE128" s="100">
        <f t="shared" si="125"/>
        <v>733.87455689283581</v>
      </c>
      <c r="CF128" s="100">
        <f t="shared" si="101"/>
        <v>68.826656851811478</v>
      </c>
      <c r="CG128" s="96">
        <f t="shared" si="132"/>
        <v>1.4719320930019206</v>
      </c>
      <c r="CH128" s="96">
        <f t="shared" si="129"/>
        <v>0.82114132695444197</v>
      </c>
      <c r="CJ128" s="95">
        <f t="shared" si="131"/>
        <v>2.3206751054852321</v>
      </c>
      <c r="CK128" s="93">
        <f t="shared" si="111"/>
        <v>23.692810457516341</v>
      </c>
      <c r="CL128" s="93">
        <f t="shared" si="112"/>
        <v>6.3157894736842106</v>
      </c>
      <c r="CM128" s="93">
        <f t="shared" si="113"/>
        <v>13.704496788008566</v>
      </c>
      <c r="CN128" s="93">
        <f t="shared" si="114"/>
        <v>67.320261437908499</v>
      </c>
      <c r="CO128" s="93">
        <f t="shared" si="115"/>
        <v>27.413793103448278</v>
      </c>
      <c r="CP128" s="93">
        <f t="shared" si="116"/>
        <v>331.87347931873484</v>
      </c>
      <c r="CQ128" s="93">
        <f t="shared" si="117"/>
        <v>657.75401069518716</v>
      </c>
      <c r="CR128" s="93">
        <f t="shared" si="118"/>
        <v>1192.9133858267717</v>
      </c>
      <c r="CS128" s="93">
        <f t="shared" si="119"/>
        <v>1906.3604240282687</v>
      </c>
      <c r="CT128" s="93">
        <f t="shared" si="120"/>
        <v>3099.6978851963745</v>
      </c>
      <c r="CU128" s="93">
        <f t="shared" si="121"/>
        <v>3843.1372549019611</v>
      </c>
      <c r="CV128" s="93">
        <f t="shared" si="122"/>
        <v>4747.0588235294117</v>
      </c>
      <c r="CW128" s="93">
        <f t="shared" si="123"/>
        <v>5826.7716535433074</v>
      </c>
    </row>
    <row r="129" spans="1:101" s="98" customFormat="1">
      <c r="A129" s="3" t="s">
        <v>363</v>
      </c>
      <c r="B129" s="3" t="s">
        <v>268</v>
      </c>
      <c r="C129" s="3"/>
      <c r="D129" s="93">
        <v>7.1029999999999998</v>
      </c>
      <c r="E129" s="94">
        <v>0.1852</v>
      </c>
      <c r="F129" s="94">
        <v>1.2999999999999999E-3</v>
      </c>
      <c r="G129" s="95">
        <v>13.224</v>
      </c>
      <c r="H129" s="96">
        <v>0.33</v>
      </c>
      <c r="I129" s="97">
        <v>0.51910000000000001</v>
      </c>
      <c r="J129" s="95">
        <v>1.0999999999999999E-2</v>
      </c>
      <c r="K129" s="96">
        <v>0.22276000000000001</v>
      </c>
      <c r="M129" s="99">
        <v>2695.5</v>
      </c>
      <c r="N129" s="98">
        <v>47</v>
      </c>
      <c r="O129" s="99">
        <v>2700.1</v>
      </c>
      <c r="P129" s="98">
        <v>7.7</v>
      </c>
      <c r="Q129" s="93">
        <v>0.28000000000000003</v>
      </c>
      <c r="R129" s="97">
        <v>9.3999999999999997E-4</v>
      </c>
      <c r="T129" s="98">
        <v>390</v>
      </c>
      <c r="U129" s="98">
        <v>140</v>
      </c>
      <c r="V129" s="98">
        <v>0.3</v>
      </c>
      <c r="W129" s="98">
        <v>1.1000000000000001</v>
      </c>
      <c r="X129" s="98">
        <v>0.65</v>
      </c>
      <c r="Y129" s="98">
        <v>0.49</v>
      </c>
      <c r="Z129" s="98">
        <v>5.8</v>
      </c>
      <c r="AA129" s="98">
        <v>1.7</v>
      </c>
      <c r="AB129" s="98">
        <v>2.0499999999999998</v>
      </c>
      <c r="AC129" s="98">
        <v>0.66</v>
      </c>
      <c r="AD129" s="98">
        <v>3740</v>
      </c>
      <c r="AE129" s="98">
        <v>450</v>
      </c>
      <c r="AF129" s="95">
        <v>0.33</v>
      </c>
      <c r="AG129" s="97">
        <v>0.13</v>
      </c>
      <c r="AH129" s="96">
        <v>7.3</v>
      </c>
      <c r="AI129" s="96">
        <v>1.3</v>
      </c>
      <c r="AJ129" s="95">
        <v>0.34</v>
      </c>
      <c r="AK129" s="95">
        <v>0.1</v>
      </c>
      <c r="AL129" s="96">
        <v>5</v>
      </c>
      <c r="AM129" s="96">
        <v>1.6</v>
      </c>
      <c r="AN129" s="96">
        <v>11.7</v>
      </c>
      <c r="AO129" s="96">
        <v>3</v>
      </c>
      <c r="AP129" s="96">
        <v>1.58</v>
      </c>
      <c r="AQ129" s="96">
        <v>0.37</v>
      </c>
      <c r="AR129" s="96">
        <v>83</v>
      </c>
      <c r="AS129" s="93">
        <v>12</v>
      </c>
      <c r="AT129" s="96">
        <v>28.7</v>
      </c>
      <c r="AU129" s="96">
        <v>3.9</v>
      </c>
      <c r="AV129" s="99">
        <v>338</v>
      </c>
      <c r="AW129" s="98">
        <v>51</v>
      </c>
      <c r="AX129" s="98">
        <v>131</v>
      </c>
      <c r="AY129" s="98">
        <v>18</v>
      </c>
      <c r="AZ129" s="98">
        <v>599</v>
      </c>
      <c r="BA129" s="98">
        <v>93</v>
      </c>
      <c r="BB129" s="98">
        <v>120</v>
      </c>
      <c r="BC129" s="98">
        <v>18</v>
      </c>
      <c r="BD129" s="98">
        <v>960</v>
      </c>
      <c r="BE129" s="98">
        <v>140</v>
      </c>
      <c r="BF129" s="98">
        <v>185</v>
      </c>
      <c r="BG129" s="98">
        <v>22</v>
      </c>
      <c r="BI129" s="93">
        <v>6.1</v>
      </c>
      <c r="BJ129" s="98">
        <v>3.4</v>
      </c>
      <c r="BK129" s="98">
        <v>572000</v>
      </c>
      <c r="BL129" s="98">
        <v>72000</v>
      </c>
      <c r="BM129" s="98">
        <v>8600</v>
      </c>
      <c r="BN129" s="98">
        <v>1100</v>
      </c>
      <c r="BO129" s="99">
        <v>61.5</v>
      </c>
      <c r="BP129" s="98">
        <v>7.2</v>
      </c>
      <c r="BQ129" s="99">
        <v>93</v>
      </c>
      <c r="BR129" s="98">
        <v>11</v>
      </c>
      <c r="BT129" s="95">
        <f t="shared" si="102"/>
        <v>9.6875000000000003E-2</v>
      </c>
      <c r="BU129" s="96">
        <f t="shared" si="103"/>
        <v>1.46</v>
      </c>
      <c r="BV129" s="96">
        <f t="shared" si="104"/>
        <v>66.511627906976742</v>
      </c>
      <c r="BW129" s="96">
        <f t="shared" si="105"/>
        <v>0.66129032258064513</v>
      </c>
      <c r="BX129" s="99">
        <f t="shared" si="130"/>
        <v>5.3433175545107909</v>
      </c>
      <c r="BY129" s="96">
        <f t="shared" si="106"/>
        <v>1.46</v>
      </c>
      <c r="BZ129" s="97">
        <f t="shared" si="107"/>
        <v>3.9037433155080214E-4</v>
      </c>
      <c r="CA129" s="95">
        <f t="shared" si="108"/>
        <v>0.15500608408943478</v>
      </c>
      <c r="CB129" s="99">
        <f t="shared" si="124"/>
        <v>152.19799848517476</v>
      </c>
      <c r="CC129" s="99">
        <f t="shared" si="124"/>
        <v>18.001913799321745</v>
      </c>
      <c r="CD129" s="100">
        <f t="shared" si="110"/>
        <v>726.69764230371038</v>
      </c>
      <c r="CE129" s="100">
        <f t="shared" si="125"/>
        <v>764.76858917757352</v>
      </c>
      <c r="CF129" s="100">
        <f t="shared" si="101"/>
        <v>56.274637028908074</v>
      </c>
      <c r="CG129" s="96">
        <f t="shared" si="132"/>
        <v>-0.19598064662498782</v>
      </c>
      <c r="CH129" s="96">
        <f t="shared" si="129"/>
        <v>0.67869157404111968</v>
      </c>
      <c r="CJ129" s="95">
        <f t="shared" si="131"/>
        <v>1.3924050632911393</v>
      </c>
      <c r="CK129" s="93">
        <f t="shared" si="111"/>
        <v>11.928104575163399</v>
      </c>
      <c r="CL129" s="93">
        <f t="shared" si="112"/>
        <v>3.5789473684210527</v>
      </c>
      <c r="CM129" s="93">
        <f t="shared" si="113"/>
        <v>10.706638115631691</v>
      </c>
      <c r="CN129" s="93">
        <f t="shared" si="114"/>
        <v>76.470588235294116</v>
      </c>
      <c r="CO129" s="93">
        <f t="shared" si="115"/>
        <v>27.241379310344829</v>
      </c>
      <c r="CP129" s="93">
        <f t="shared" si="116"/>
        <v>403.89294403892944</v>
      </c>
      <c r="CQ129" s="93">
        <f t="shared" si="117"/>
        <v>767.37967914438491</v>
      </c>
      <c r="CR129" s="93">
        <f t="shared" si="118"/>
        <v>1330.7086614173229</v>
      </c>
      <c r="CS129" s="93">
        <f t="shared" si="119"/>
        <v>2314.4876325088339</v>
      </c>
      <c r="CT129" s="93">
        <f t="shared" si="120"/>
        <v>3619.3353474320238</v>
      </c>
      <c r="CU129" s="93">
        <f t="shared" si="121"/>
        <v>4705.8823529411766</v>
      </c>
      <c r="CV129" s="93">
        <f t="shared" si="122"/>
        <v>5647.0588235294117</v>
      </c>
      <c r="CW129" s="93">
        <f t="shared" si="123"/>
        <v>7283.464566929134</v>
      </c>
    </row>
    <row r="130" spans="1:101" s="98" customFormat="1">
      <c r="A130" s="3" t="s">
        <v>364</v>
      </c>
      <c r="B130" s="3" t="s">
        <v>268</v>
      </c>
      <c r="C130" s="3"/>
      <c r="D130" s="93">
        <v>7.0209999999999999</v>
      </c>
      <c r="E130" s="94">
        <v>0.18720000000000001</v>
      </c>
      <c r="F130" s="94">
        <v>1.5E-3</v>
      </c>
      <c r="G130" s="95">
        <v>13.81</v>
      </c>
      <c r="H130" s="96">
        <v>0.35</v>
      </c>
      <c r="I130" s="97">
        <v>0.53620000000000001</v>
      </c>
      <c r="J130" s="95">
        <v>1.2E-2</v>
      </c>
      <c r="K130" s="96">
        <v>0.39217000000000002</v>
      </c>
      <c r="M130" s="99">
        <v>2767.3</v>
      </c>
      <c r="N130" s="98">
        <v>49</v>
      </c>
      <c r="O130" s="99">
        <v>2718.1</v>
      </c>
      <c r="P130" s="98">
        <v>7.8</v>
      </c>
      <c r="Q130" s="93">
        <v>-1.82</v>
      </c>
      <c r="R130" s="97">
        <v>0</v>
      </c>
      <c r="T130" s="98">
        <v>360</v>
      </c>
      <c r="U130" s="98">
        <v>190</v>
      </c>
      <c r="V130" s="98" t="s">
        <v>250</v>
      </c>
      <c r="W130" s="98" t="s">
        <v>250</v>
      </c>
      <c r="X130" s="98">
        <v>0.33</v>
      </c>
      <c r="Y130" s="98">
        <v>0.35</v>
      </c>
      <c r="Z130" s="98">
        <v>3.3</v>
      </c>
      <c r="AA130" s="98">
        <v>1.1000000000000001</v>
      </c>
      <c r="AB130" s="98">
        <v>1.39</v>
      </c>
      <c r="AC130" s="98">
        <v>0.68</v>
      </c>
      <c r="AD130" s="98">
        <v>2560</v>
      </c>
      <c r="AE130" s="98">
        <v>300</v>
      </c>
      <c r="AF130" s="95">
        <v>0.376</v>
      </c>
      <c r="AG130" s="97">
        <v>0.09</v>
      </c>
      <c r="AH130" s="96">
        <v>4.16</v>
      </c>
      <c r="AI130" s="96">
        <v>0.67</v>
      </c>
      <c r="AJ130" s="95">
        <v>0.35</v>
      </c>
      <c r="AK130" s="95">
        <v>9.8000000000000004E-2</v>
      </c>
      <c r="AL130" s="96">
        <v>3.8</v>
      </c>
      <c r="AM130" s="96">
        <v>1</v>
      </c>
      <c r="AN130" s="96">
        <v>8.5</v>
      </c>
      <c r="AO130" s="96">
        <v>2.2000000000000002</v>
      </c>
      <c r="AP130" s="96">
        <v>1.39</v>
      </c>
      <c r="AQ130" s="96">
        <v>0.39</v>
      </c>
      <c r="AR130" s="96">
        <v>55.3</v>
      </c>
      <c r="AS130" s="93">
        <v>7.6</v>
      </c>
      <c r="AT130" s="96">
        <v>19</v>
      </c>
      <c r="AU130" s="96">
        <v>1.5</v>
      </c>
      <c r="AV130" s="99">
        <v>248</v>
      </c>
      <c r="AW130" s="98">
        <v>23</v>
      </c>
      <c r="AX130" s="98">
        <v>91.2</v>
      </c>
      <c r="AY130" s="98">
        <v>8.8000000000000007</v>
      </c>
      <c r="AZ130" s="98">
        <v>420</v>
      </c>
      <c r="BA130" s="98">
        <v>38</v>
      </c>
      <c r="BB130" s="98">
        <v>80.599999999999994</v>
      </c>
      <c r="BC130" s="98">
        <v>6.4</v>
      </c>
      <c r="BD130" s="98">
        <v>751</v>
      </c>
      <c r="BE130" s="98">
        <v>68</v>
      </c>
      <c r="BF130" s="98">
        <v>128</v>
      </c>
      <c r="BG130" s="98">
        <v>12</v>
      </c>
      <c r="BI130" s="93">
        <v>12.3</v>
      </c>
      <c r="BJ130" s="98">
        <v>4.4000000000000004</v>
      </c>
      <c r="BK130" s="98">
        <v>551000</v>
      </c>
      <c r="BL130" s="98">
        <v>56000</v>
      </c>
      <c r="BM130" s="98">
        <v>8390</v>
      </c>
      <c r="BN130" s="98">
        <v>880</v>
      </c>
      <c r="BO130" s="99">
        <v>34.1</v>
      </c>
      <c r="BP130" s="98">
        <v>2.4</v>
      </c>
      <c r="BQ130" s="99">
        <v>55.6</v>
      </c>
      <c r="BR130" s="98">
        <v>3.9</v>
      </c>
      <c r="BT130" s="95">
        <f t="shared" si="102"/>
        <v>7.4034620505992008E-2</v>
      </c>
      <c r="BU130" s="96">
        <f t="shared" si="103"/>
        <v>1.0947368421052632</v>
      </c>
      <c r="BV130" s="96">
        <f t="shared" si="104"/>
        <v>65.673420738974968</v>
      </c>
      <c r="BW130" s="96">
        <f t="shared" si="105"/>
        <v>0.61330935251798557</v>
      </c>
      <c r="BX130" s="99">
        <f t="shared" si="130"/>
        <v>2.8115767252625292</v>
      </c>
      <c r="BY130" s="96">
        <f t="shared" si="106"/>
        <v>1.0947368421052632</v>
      </c>
      <c r="BZ130" s="97">
        <f t="shared" si="107"/>
        <v>4.2763157894736844E-4</v>
      </c>
      <c r="CA130" s="95">
        <f t="shared" si="108"/>
        <v>0.19600466446347931</v>
      </c>
      <c r="CB130" s="99">
        <f t="shared" si="124"/>
        <v>90.991491567480836</v>
      </c>
      <c r="CC130" s="99">
        <f t="shared" si="124"/>
        <v>6.3824967106686188</v>
      </c>
      <c r="CD130" s="100">
        <f t="shared" si="110"/>
        <v>794.4285799645246</v>
      </c>
      <c r="CE130" s="100">
        <f t="shared" si="125"/>
        <v>837.94442080199417</v>
      </c>
      <c r="CF130" s="100">
        <f t="shared" si="101"/>
        <v>42.052653704721706</v>
      </c>
      <c r="CG130" s="96">
        <f t="shared" si="132"/>
        <v>-1.3323848726211263</v>
      </c>
      <c r="CH130" s="96">
        <f t="shared" si="129"/>
        <v>0.43177554085614811</v>
      </c>
      <c r="CJ130" s="95">
        <f t="shared" si="131"/>
        <v>1.5864978902953588</v>
      </c>
      <c r="CK130" s="93">
        <f t="shared" si="111"/>
        <v>6.7973856209150334</v>
      </c>
      <c r="CL130" s="93">
        <f t="shared" si="112"/>
        <v>3.6842105263157894</v>
      </c>
      <c r="CM130" s="93">
        <f t="shared" si="113"/>
        <v>8.1370449678800849</v>
      </c>
      <c r="CN130" s="93">
        <f t="shared" si="114"/>
        <v>55.555555555555557</v>
      </c>
      <c r="CO130" s="93">
        <f t="shared" si="115"/>
        <v>23.965517241379306</v>
      </c>
      <c r="CP130" s="93">
        <f t="shared" si="116"/>
        <v>269.09975669099759</v>
      </c>
      <c r="CQ130" s="93">
        <f t="shared" si="117"/>
        <v>508.02139037433153</v>
      </c>
      <c r="CR130" s="93">
        <f t="shared" si="118"/>
        <v>976.37795275590554</v>
      </c>
      <c r="CS130" s="93">
        <f t="shared" si="119"/>
        <v>1611.3074204946997</v>
      </c>
      <c r="CT130" s="93">
        <f t="shared" si="120"/>
        <v>2537.764350453172</v>
      </c>
      <c r="CU130" s="93">
        <f t="shared" si="121"/>
        <v>3160.7843137254904</v>
      </c>
      <c r="CV130" s="93">
        <f t="shared" si="122"/>
        <v>4417.6470588235288</v>
      </c>
      <c r="CW130" s="93">
        <f t="shared" si="123"/>
        <v>5039.3700787401576</v>
      </c>
    </row>
    <row r="131" spans="1:101" s="107" customFormat="1">
      <c r="A131" s="101" t="s">
        <v>281</v>
      </c>
      <c r="B131" s="101"/>
      <c r="C131" s="101"/>
      <c r="D131" s="102"/>
      <c r="E131" s="103"/>
      <c r="F131" s="103"/>
      <c r="G131" s="104"/>
      <c r="H131" s="105"/>
      <c r="I131" s="106"/>
      <c r="J131" s="104"/>
      <c r="K131" s="105"/>
      <c r="M131" s="108"/>
      <c r="O131" s="108"/>
      <c r="R131" s="106"/>
      <c r="AF131" s="104"/>
      <c r="AG131" s="106"/>
      <c r="AH131" s="105"/>
      <c r="AI131" s="105"/>
      <c r="AJ131" s="104"/>
      <c r="AK131" s="104"/>
      <c r="AL131" s="105"/>
      <c r="AM131" s="105"/>
      <c r="AN131" s="105"/>
      <c r="AO131" s="105"/>
      <c r="AP131" s="105"/>
      <c r="AQ131" s="105"/>
      <c r="AR131" s="105"/>
      <c r="AS131" s="102"/>
      <c r="AT131" s="105"/>
      <c r="AU131" s="105"/>
      <c r="AV131" s="108"/>
      <c r="BI131" s="102"/>
      <c r="BO131" s="108"/>
      <c r="BQ131" s="108"/>
      <c r="BT131" s="95"/>
      <c r="BU131" s="96"/>
      <c r="BV131" s="96"/>
      <c r="BW131" s="96"/>
      <c r="BX131" s="108">
        <f>AVERAGE(BX88:BX130)</f>
        <v>39.380919255117355</v>
      </c>
      <c r="BY131" s="96"/>
      <c r="BZ131" s="97"/>
      <c r="CA131" s="104">
        <f>AVERAGE(CA88:CA130)</f>
        <v>0.22531917976924321</v>
      </c>
      <c r="CB131" s="99"/>
      <c r="CC131" s="99"/>
      <c r="CD131" s="109">
        <f>AVERAGE(CD88:CD130)</f>
        <v>709.32227380402173</v>
      </c>
      <c r="CE131" s="109">
        <f>AVERAGE(CE88:CE130)</f>
        <v>746.09358312299901</v>
      </c>
      <c r="CF131" s="100"/>
      <c r="CG131" s="105">
        <f>AVERAGE(CG88:CG130)</f>
        <v>6.806228940581123E-2</v>
      </c>
      <c r="CH131" s="105">
        <f>AVERAGE(CH88:CH130)</f>
        <v>0.68261075562018925</v>
      </c>
      <c r="CJ131" s="95"/>
      <c r="CK131" s="93"/>
      <c r="CL131" s="93"/>
      <c r="CM131" s="93"/>
      <c r="CN131" s="93"/>
      <c r="CO131" s="93"/>
      <c r="CP131" s="93"/>
      <c r="CQ131" s="93"/>
      <c r="CR131" s="93"/>
      <c r="CS131" s="93"/>
      <c r="CT131" s="93"/>
      <c r="CU131" s="93"/>
      <c r="CV131" s="93"/>
      <c r="CW131" s="93"/>
    </row>
    <row r="132" spans="1:101" s="107" customFormat="1">
      <c r="A132" s="101" t="s">
        <v>282</v>
      </c>
      <c r="B132" s="101"/>
      <c r="C132" s="101"/>
      <c r="D132" s="102"/>
      <c r="E132" s="103"/>
      <c r="F132" s="103"/>
      <c r="G132" s="104"/>
      <c r="H132" s="105"/>
      <c r="I132" s="106"/>
      <c r="J132" s="104"/>
      <c r="K132" s="105"/>
      <c r="M132" s="108"/>
      <c r="O132" s="108"/>
      <c r="R132" s="106"/>
      <c r="AF132" s="104"/>
      <c r="AG132" s="106"/>
      <c r="AH132" s="105"/>
      <c r="AI132" s="105"/>
      <c r="AJ132" s="104"/>
      <c r="AK132" s="104"/>
      <c r="AL132" s="105"/>
      <c r="AM132" s="105"/>
      <c r="AN132" s="105"/>
      <c r="AO132" s="105"/>
      <c r="AP132" s="105"/>
      <c r="AQ132" s="105"/>
      <c r="AR132" s="105"/>
      <c r="AS132" s="102"/>
      <c r="AT132" s="105"/>
      <c r="AU132" s="105"/>
      <c r="AV132" s="108"/>
      <c r="BI132" s="102"/>
      <c r="BO132" s="108"/>
      <c r="BQ132" s="108"/>
      <c r="BT132" s="95"/>
      <c r="BU132" s="96"/>
      <c r="BV132" s="96"/>
      <c r="BW132" s="96"/>
      <c r="BX132" s="108">
        <f>MEDIAN(BX88:BX130)</f>
        <v>29.064150613283843</v>
      </c>
      <c r="BY132" s="96"/>
      <c r="BZ132" s="97"/>
      <c r="CA132" s="104">
        <f>MEDIAN(CA88:CA130)</f>
        <v>0.2232723348759722</v>
      </c>
      <c r="CB132" s="99"/>
      <c r="CC132" s="99"/>
      <c r="CD132" s="109">
        <f>MEDIAN(CD88:CD130)</f>
        <v>703.65825108924321</v>
      </c>
      <c r="CE132" s="109">
        <f>MEDIAN(CE88:CE130)</f>
        <v>739.96302873525235</v>
      </c>
      <c r="CF132" s="100"/>
      <c r="CG132" s="105">
        <f>MEDIAN(CG88:CG130)</f>
        <v>2.4785217041631835E-2</v>
      </c>
      <c r="CH132" s="105">
        <f>MEDIAN(CH88:CH130)</f>
        <v>0.66281310707117891</v>
      </c>
      <c r="CJ132" s="95"/>
      <c r="CK132" s="93"/>
      <c r="CL132" s="93"/>
      <c r="CM132" s="93"/>
      <c r="CN132" s="93"/>
      <c r="CO132" s="93"/>
      <c r="CP132" s="93"/>
      <c r="CQ132" s="93"/>
      <c r="CR132" s="93"/>
      <c r="CS132" s="93"/>
      <c r="CT132" s="93"/>
      <c r="CU132" s="93"/>
      <c r="CV132" s="93"/>
      <c r="CW132" s="93"/>
    </row>
    <row r="133" spans="1:101" s="107" customFormat="1">
      <c r="A133" s="101" t="s">
        <v>204</v>
      </c>
      <c r="B133" s="101"/>
      <c r="C133" s="101"/>
      <c r="D133" s="102"/>
      <c r="E133" s="103"/>
      <c r="F133" s="103"/>
      <c r="G133" s="104"/>
      <c r="H133" s="105"/>
      <c r="I133" s="106"/>
      <c r="J133" s="104"/>
      <c r="K133" s="105"/>
      <c r="M133" s="108"/>
      <c r="O133" s="108"/>
      <c r="R133" s="106"/>
      <c r="AF133" s="104"/>
      <c r="AG133" s="106"/>
      <c r="AH133" s="105"/>
      <c r="AI133" s="105"/>
      <c r="AJ133" s="104"/>
      <c r="AK133" s="104"/>
      <c r="AL133" s="105"/>
      <c r="AM133" s="105"/>
      <c r="AN133" s="105"/>
      <c r="AO133" s="105"/>
      <c r="AP133" s="105"/>
      <c r="AQ133" s="105"/>
      <c r="AR133" s="105"/>
      <c r="AS133" s="102"/>
      <c r="AT133" s="105"/>
      <c r="AU133" s="105"/>
      <c r="AV133" s="108"/>
      <c r="BI133" s="102"/>
      <c r="BO133" s="108"/>
      <c r="BQ133" s="108"/>
      <c r="BT133" s="95"/>
      <c r="BU133" s="96"/>
      <c r="BV133" s="96"/>
      <c r="BW133" s="96"/>
      <c r="BX133" s="108">
        <f>_xlfn.STDEV.S(BX88:BX130)</f>
        <v>43.425225991928833</v>
      </c>
      <c r="BY133" s="96"/>
      <c r="BZ133" s="97"/>
      <c r="CA133" s="104">
        <f>_xlfn.STDEV.S(CA88:CA130)</f>
        <v>4.7294925688337611E-2</v>
      </c>
      <c r="CB133" s="99"/>
      <c r="CC133" s="99"/>
      <c r="CD133" s="109">
        <f>_xlfn.STDEV.S(CD88:CD130)</f>
        <v>30.229686502796206</v>
      </c>
      <c r="CE133" s="109">
        <f>_xlfn.STDEV.S(CE88:CE130)</f>
        <v>32.541184555207124</v>
      </c>
      <c r="CF133" s="100"/>
      <c r="CG133" s="105">
        <f>_xlfn.STDEV.S(CG88:CG130)</f>
        <v>0.55562502932162883</v>
      </c>
      <c r="CH133" s="105">
        <f>_xlfn.STDEV.S(CH88:CH130)</f>
        <v>0.19070231744567434</v>
      </c>
      <c r="CJ133" s="95"/>
      <c r="CK133" s="93"/>
      <c r="CL133" s="93"/>
      <c r="CM133" s="93"/>
      <c r="CN133" s="93"/>
      <c r="CO133" s="93"/>
      <c r="CP133" s="93"/>
      <c r="CQ133" s="93"/>
      <c r="CR133" s="93"/>
      <c r="CS133" s="93"/>
      <c r="CT133" s="93"/>
      <c r="CU133" s="93"/>
      <c r="CV133" s="93"/>
      <c r="CW133" s="93"/>
    </row>
    <row r="134" spans="1:101" s="107" customFormat="1">
      <c r="A134" s="101" t="s">
        <v>283</v>
      </c>
      <c r="B134" s="101"/>
      <c r="C134" s="101"/>
      <c r="D134" s="102"/>
      <c r="E134" s="103"/>
      <c r="F134" s="103"/>
      <c r="G134" s="104"/>
      <c r="H134" s="105"/>
      <c r="I134" s="106"/>
      <c r="J134" s="104"/>
      <c r="K134" s="105"/>
      <c r="M134" s="108"/>
      <c r="O134" s="108"/>
      <c r="R134" s="106"/>
      <c r="AF134" s="104"/>
      <c r="AG134" s="106"/>
      <c r="AH134" s="105"/>
      <c r="AI134" s="105"/>
      <c r="AJ134" s="104"/>
      <c r="AK134" s="104"/>
      <c r="AL134" s="105"/>
      <c r="AM134" s="105"/>
      <c r="AN134" s="105"/>
      <c r="AO134" s="105"/>
      <c r="AP134" s="105"/>
      <c r="AQ134" s="105"/>
      <c r="AR134" s="105"/>
      <c r="AS134" s="102"/>
      <c r="AT134" s="105"/>
      <c r="AU134" s="105"/>
      <c r="AV134" s="108"/>
      <c r="BI134" s="102"/>
      <c r="BO134" s="108"/>
      <c r="BQ134" s="108"/>
      <c r="BT134" s="95"/>
      <c r="BU134" s="96"/>
      <c r="BV134" s="96"/>
      <c r="BW134" s="96"/>
      <c r="BX134" s="105">
        <f>BX133/BX131</f>
        <v>1.1026971135592762</v>
      </c>
      <c r="BY134" s="96"/>
      <c r="BZ134" s="97"/>
      <c r="CA134" s="104">
        <f>CA133/CA131</f>
        <v>0.20990190775935677</v>
      </c>
      <c r="CB134" s="99"/>
      <c r="CC134" s="99"/>
      <c r="CD134" s="110">
        <f>CD133/CD131</f>
        <v>4.2617703714106614E-2</v>
      </c>
      <c r="CE134" s="110">
        <f>CE133/CE131</f>
        <v>4.3615419420974258E-2</v>
      </c>
      <c r="CF134" s="100"/>
      <c r="CG134" s="105">
        <f>CG133/CG131</f>
        <v>8.1634783985710158</v>
      </c>
      <c r="CH134" s="105">
        <f>CH133/CH131</f>
        <v>0.27937197865042551</v>
      </c>
      <c r="CJ134" s="95"/>
      <c r="CK134" s="93"/>
      <c r="CL134" s="93"/>
      <c r="CM134" s="93"/>
      <c r="CN134" s="93"/>
      <c r="CO134" s="93"/>
      <c r="CP134" s="93"/>
      <c r="CQ134" s="93"/>
      <c r="CR134" s="93"/>
      <c r="CS134" s="93"/>
      <c r="CT134" s="93"/>
      <c r="CU134" s="93"/>
      <c r="CV134" s="93"/>
      <c r="CW134" s="93"/>
    </row>
    <row r="135" spans="1:101" s="107" customFormat="1">
      <c r="A135" s="101"/>
      <c r="B135" s="101"/>
      <c r="C135" s="101"/>
      <c r="D135" s="102"/>
      <c r="E135" s="103"/>
      <c r="F135" s="103"/>
      <c r="G135" s="104"/>
      <c r="H135" s="105"/>
      <c r="I135" s="106"/>
      <c r="J135" s="104"/>
      <c r="K135" s="105"/>
      <c r="M135" s="108"/>
      <c r="O135" s="108"/>
      <c r="R135" s="106"/>
      <c r="AF135" s="104"/>
      <c r="AG135" s="106"/>
      <c r="AH135" s="105"/>
      <c r="AI135" s="105"/>
      <c r="AJ135" s="104"/>
      <c r="AK135" s="104"/>
      <c r="AL135" s="105"/>
      <c r="AM135" s="105"/>
      <c r="AN135" s="105"/>
      <c r="AO135" s="105"/>
      <c r="AP135" s="105"/>
      <c r="AQ135" s="105"/>
      <c r="AR135" s="105"/>
      <c r="AS135" s="102"/>
      <c r="AT135" s="105"/>
      <c r="AU135" s="105"/>
      <c r="AV135" s="108"/>
      <c r="BI135" s="102"/>
      <c r="BO135" s="108"/>
      <c r="BQ135" s="108"/>
      <c r="BT135" s="95"/>
      <c r="BU135" s="96"/>
      <c r="BV135" s="96"/>
      <c r="BW135" s="96"/>
      <c r="BX135" s="99"/>
      <c r="BY135" s="96"/>
      <c r="BZ135" s="97"/>
      <c r="CA135" s="95"/>
      <c r="CB135" s="99"/>
      <c r="CC135" s="99"/>
      <c r="CD135" s="100"/>
      <c r="CE135" s="100"/>
      <c r="CF135" s="100"/>
      <c r="CG135" s="105"/>
      <c r="CH135" s="96"/>
      <c r="CJ135" s="95"/>
      <c r="CK135" s="93"/>
      <c r="CL135" s="93"/>
      <c r="CM135" s="93"/>
      <c r="CN135" s="93"/>
      <c r="CO135" s="93"/>
      <c r="CP135" s="93"/>
      <c r="CQ135" s="93"/>
      <c r="CR135" s="93"/>
      <c r="CS135" s="93"/>
      <c r="CT135" s="93"/>
      <c r="CU135" s="93"/>
      <c r="CV135" s="93"/>
      <c r="CW135" s="93"/>
    </row>
    <row r="136" spans="1:101" s="98" customFormat="1">
      <c r="A136" s="3"/>
      <c r="B136" s="3"/>
      <c r="C136" s="3"/>
      <c r="D136" s="93"/>
      <c r="E136" s="94"/>
      <c r="F136" s="94"/>
      <c r="G136" s="95"/>
      <c r="H136" s="96"/>
      <c r="I136" s="97"/>
      <c r="J136" s="95"/>
      <c r="K136" s="96"/>
      <c r="M136" s="99"/>
      <c r="O136" s="99"/>
      <c r="R136" s="97"/>
      <c r="AF136" s="95"/>
      <c r="AG136" s="97"/>
      <c r="AH136" s="96"/>
      <c r="AI136" s="96"/>
      <c r="AJ136" s="95"/>
      <c r="AK136" s="95"/>
      <c r="AL136" s="96"/>
      <c r="AM136" s="96"/>
      <c r="AN136" s="96"/>
      <c r="AO136" s="96"/>
      <c r="AP136" s="96"/>
      <c r="AQ136" s="96"/>
      <c r="AR136" s="96"/>
      <c r="AS136" s="93"/>
      <c r="AT136" s="96"/>
      <c r="AU136" s="96"/>
      <c r="AV136" s="99"/>
      <c r="BI136" s="93"/>
      <c r="BO136" s="99"/>
      <c r="BQ136" s="99"/>
      <c r="BT136" s="95"/>
      <c r="BU136" s="96"/>
      <c r="BV136" s="96"/>
      <c r="BW136" s="96"/>
      <c r="BX136" s="99"/>
      <c r="BY136" s="96"/>
      <c r="BZ136" s="97"/>
      <c r="CA136" s="95"/>
      <c r="CB136" s="99"/>
      <c r="CC136" s="99"/>
      <c r="CD136" s="100"/>
      <c r="CE136" s="100"/>
      <c r="CF136" s="100"/>
      <c r="CG136" s="96"/>
      <c r="CH136" s="96"/>
      <c r="CJ136" s="95"/>
      <c r="CK136" s="93"/>
      <c r="CL136" s="93"/>
      <c r="CM136" s="93"/>
      <c r="CN136" s="93"/>
      <c r="CO136" s="93"/>
      <c r="CP136" s="93"/>
      <c r="CQ136" s="93"/>
      <c r="CR136" s="93"/>
      <c r="CS136" s="93"/>
      <c r="CT136" s="93"/>
      <c r="CU136" s="93"/>
      <c r="CV136" s="93"/>
      <c r="CW136" s="93"/>
    </row>
    <row r="137" spans="1:101" s="129" customFormat="1">
      <c r="A137" s="122" t="s">
        <v>365</v>
      </c>
      <c r="B137" s="123" t="s">
        <v>244</v>
      </c>
      <c r="C137" s="122" t="s">
        <v>287</v>
      </c>
      <c r="D137" s="124">
        <v>11.009</v>
      </c>
      <c r="E137" s="125">
        <v>0.184</v>
      </c>
      <c r="F137" s="125">
        <v>1.6999999999999999E-3</v>
      </c>
      <c r="G137" s="126">
        <v>10.85</v>
      </c>
      <c r="H137" s="127">
        <v>0.36</v>
      </c>
      <c r="I137" s="128">
        <v>0.42930000000000001</v>
      </c>
      <c r="J137" s="126">
        <v>1.2999999999999999E-2</v>
      </c>
      <c r="K137" s="127">
        <v>0.84833999999999998</v>
      </c>
      <c r="M137" s="130">
        <v>2302</v>
      </c>
      <c r="N137" s="129">
        <v>57</v>
      </c>
      <c r="O137" s="130">
        <v>2689.7</v>
      </c>
      <c r="P137" s="129">
        <v>9.5</v>
      </c>
      <c r="Q137" s="124">
        <v>14.41</v>
      </c>
      <c r="R137" s="128">
        <v>4.3299999999999998E-2</v>
      </c>
      <c r="T137" s="129">
        <v>290</v>
      </c>
      <c r="U137" s="129">
        <v>140</v>
      </c>
      <c r="V137" s="129">
        <v>0.7</v>
      </c>
      <c r="W137" s="129">
        <v>1.5</v>
      </c>
      <c r="X137" s="129">
        <v>0.41</v>
      </c>
      <c r="Y137" s="129">
        <v>0.25</v>
      </c>
      <c r="Z137" s="129">
        <v>6.69</v>
      </c>
      <c r="AA137" s="129">
        <v>0.89</v>
      </c>
      <c r="AB137" s="129">
        <v>2.17</v>
      </c>
      <c r="AC137" s="129">
        <v>0.57999999999999996</v>
      </c>
      <c r="AD137" s="129">
        <v>1440</v>
      </c>
      <c r="AE137" s="129">
        <v>190</v>
      </c>
      <c r="AF137" s="126">
        <v>2.09</v>
      </c>
      <c r="AG137" s="128">
        <v>0.32</v>
      </c>
      <c r="AH137" s="127">
        <v>11.9</v>
      </c>
      <c r="AI137" s="127">
        <v>2.1</v>
      </c>
      <c r="AJ137" s="126">
        <v>0.93</v>
      </c>
      <c r="AK137" s="126">
        <v>0.15</v>
      </c>
      <c r="AL137" s="127">
        <v>6.1</v>
      </c>
      <c r="AM137" s="127">
        <v>1.8</v>
      </c>
      <c r="AN137" s="127">
        <v>5.3</v>
      </c>
      <c r="AO137" s="127">
        <v>1.5</v>
      </c>
      <c r="AP137" s="127">
        <v>0.57999999999999996</v>
      </c>
      <c r="AQ137" s="127">
        <v>0.23</v>
      </c>
      <c r="AR137" s="127">
        <v>25.6</v>
      </c>
      <c r="AS137" s="124">
        <v>5.7</v>
      </c>
      <c r="AT137" s="127">
        <v>8.1</v>
      </c>
      <c r="AU137" s="127">
        <v>1.2</v>
      </c>
      <c r="AV137" s="130">
        <v>112.2</v>
      </c>
      <c r="AW137" s="129">
        <v>8.4</v>
      </c>
      <c r="AX137" s="129">
        <v>44.1</v>
      </c>
      <c r="AY137" s="129">
        <v>3.4</v>
      </c>
      <c r="AZ137" s="129">
        <v>238</v>
      </c>
      <c r="BA137" s="129">
        <v>19</v>
      </c>
      <c r="BB137" s="129">
        <v>46.7</v>
      </c>
      <c r="BC137" s="129">
        <v>4</v>
      </c>
      <c r="BD137" s="129">
        <v>421</v>
      </c>
      <c r="BE137" s="129">
        <v>35</v>
      </c>
      <c r="BF137" s="129">
        <v>80.3</v>
      </c>
      <c r="BG137" s="129">
        <v>6.6</v>
      </c>
      <c r="BI137" s="124">
        <v>4.9000000000000004</v>
      </c>
      <c r="BJ137" s="129">
        <v>2.5</v>
      </c>
      <c r="BK137" s="129">
        <v>551000</v>
      </c>
      <c r="BL137" s="129">
        <v>58000</v>
      </c>
      <c r="BM137" s="129">
        <v>10160</v>
      </c>
      <c r="BN137" s="129">
        <v>880</v>
      </c>
      <c r="BO137" s="130">
        <v>20</v>
      </c>
      <c r="BP137" s="129">
        <v>1.5</v>
      </c>
      <c r="BQ137" s="130">
        <v>53.2</v>
      </c>
      <c r="BR137" s="129">
        <v>3.6</v>
      </c>
      <c r="BT137" s="126"/>
      <c r="BU137" s="127"/>
      <c r="BV137" s="127"/>
      <c r="BW137" s="127"/>
      <c r="BX137" s="130"/>
      <c r="BY137" s="127"/>
      <c r="BZ137" s="128"/>
      <c r="CA137" s="126"/>
      <c r="CB137" s="99"/>
      <c r="CC137" s="99"/>
      <c r="CD137" s="131"/>
      <c r="CE137" s="131"/>
      <c r="CF137" s="100"/>
      <c r="CG137" s="127"/>
      <c r="CH137" s="96"/>
      <c r="CJ137" s="126">
        <f>AF137/CJ$4</f>
        <v>8.8185654008438821</v>
      </c>
      <c r="CK137" s="124">
        <f t="shared" ref="CK137:CK170" si="133">AH137/CK$4</f>
        <v>19.444444444444446</v>
      </c>
      <c r="CL137" s="124">
        <f t="shared" ref="CL137:CL170" si="134">AJ137/CL$4</f>
        <v>9.7894736842105274</v>
      </c>
      <c r="CM137" s="124">
        <f t="shared" ref="CM137:CM170" si="135">AL137/CM$4</f>
        <v>13.062098501070663</v>
      </c>
      <c r="CN137" s="124">
        <f t="shared" ref="CN137:CN170" si="136">AN137/CN$4</f>
        <v>34.640522875816991</v>
      </c>
      <c r="CO137" s="124">
        <f t="shared" ref="CO137:CO170" si="137">AP137/CO$4</f>
        <v>9.9999999999999982</v>
      </c>
      <c r="CP137" s="124">
        <f t="shared" ref="CP137:CP170" si="138">AR137/CP$4</f>
        <v>124.57420924574211</v>
      </c>
      <c r="CQ137" s="124">
        <f t="shared" ref="CQ137:CQ170" si="139">AT137/CQ$4</f>
        <v>216.57754010695186</v>
      </c>
      <c r="CR137" s="124">
        <f t="shared" ref="CR137:CR170" si="140">AV137/CR$4</f>
        <v>441.73228346456693</v>
      </c>
      <c r="CS137" s="124">
        <f t="shared" ref="CS137:CS170" si="141">AX137/CS$4</f>
        <v>779.15194346289763</v>
      </c>
      <c r="CT137" s="124">
        <f t="shared" ref="CT137:CT170" si="142">AZ137/CT$4</f>
        <v>1438.0664652567975</v>
      </c>
      <c r="CU137" s="124">
        <f t="shared" ref="CU137:CU170" si="143">BB137/CU$4</f>
        <v>1831.372549019608</v>
      </c>
      <c r="CV137" s="124">
        <f t="shared" ref="CV137:CV170" si="144">BD137/CV$4</f>
        <v>2476.4705882352941</v>
      </c>
      <c r="CW137" s="124">
        <f t="shared" ref="CW137:CW170" si="145">BF137/CW$4</f>
        <v>3161.4173228346458</v>
      </c>
    </row>
    <row r="138" spans="1:101" s="98" customFormat="1">
      <c r="A138" s="3" t="s">
        <v>366</v>
      </c>
      <c r="B138" s="92" t="s">
        <v>244</v>
      </c>
      <c r="C138" s="3" t="s">
        <v>285</v>
      </c>
      <c r="D138" s="93">
        <v>9.1966999999999999</v>
      </c>
      <c r="E138" s="94">
        <v>0.1847</v>
      </c>
      <c r="F138" s="94">
        <v>1.1000000000000001E-3</v>
      </c>
      <c r="G138" s="95">
        <v>13.25</v>
      </c>
      <c r="H138" s="96">
        <v>0.41</v>
      </c>
      <c r="I138" s="97">
        <v>0.52210000000000001</v>
      </c>
      <c r="J138" s="95">
        <v>1.4999999999999999E-2</v>
      </c>
      <c r="K138" s="96">
        <v>0.82723999999999998</v>
      </c>
      <c r="M138" s="99">
        <v>2708</v>
      </c>
      <c r="N138" s="98">
        <v>62</v>
      </c>
      <c r="O138" s="99">
        <v>2698.1</v>
      </c>
      <c r="P138" s="98">
        <v>5.9</v>
      </c>
      <c r="Q138" s="93">
        <v>-0.36</v>
      </c>
      <c r="R138" s="97">
        <v>1.6999999999999999E-3</v>
      </c>
      <c r="T138" s="98">
        <v>490</v>
      </c>
      <c r="U138" s="98">
        <v>130</v>
      </c>
      <c r="V138" s="98" t="s">
        <v>250</v>
      </c>
      <c r="W138" s="98" t="s">
        <v>250</v>
      </c>
      <c r="X138" s="98">
        <v>0.69</v>
      </c>
      <c r="Y138" s="98">
        <v>0.34</v>
      </c>
      <c r="Z138" s="98">
        <v>13.3</v>
      </c>
      <c r="AA138" s="98">
        <v>1.8</v>
      </c>
      <c r="AB138" s="98">
        <v>4.57</v>
      </c>
      <c r="AC138" s="98">
        <v>0.87</v>
      </c>
      <c r="AD138" s="98">
        <v>3220</v>
      </c>
      <c r="AE138" s="98">
        <v>360</v>
      </c>
      <c r="AF138" s="95">
        <v>0.41699999999999998</v>
      </c>
      <c r="AG138" s="97">
        <v>7.3999999999999996E-2</v>
      </c>
      <c r="AH138" s="96">
        <v>19.600000000000001</v>
      </c>
      <c r="AI138" s="96">
        <v>2.6</v>
      </c>
      <c r="AJ138" s="95">
        <v>0.29199999999999998</v>
      </c>
      <c r="AK138" s="95">
        <v>6.5000000000000002E-2</v>
      </c>
      <c r="AL138" s="96">
        <v>3.6</v>
      </c>
      <c r="AM138" s="96">
        <v>1.2</v>
      </c>
      <c r="AN138" s="96">
        <v>7.8</v>
      </c>
      <c r="AO138" s="96">
        <v>2.2999999999999998</v>
      </c>
      <c r="AP138" s="96">
        <v>1.21</v>
      </c>
      <c r="AQ138" s="96">
        <v>0.34</v>
      </c>
      <c r="AR138" s="96">
        <v>61.4</v>
      </c>
      <c r="AS138" s="93">
        <v>7.7</v>
      </c>
      <c r="AT138" s="96">
        <v>21.6</v>
      </c>
      <c r="AU138" s="96">
        <v>2</v>
      </c>
      <c r="AV138" s="99">
        <v>297</v>
      </c>
      <c r="AW138" s="98">
        <v>20</v>
      </c>
      <c r="AX138" s="98">
        <v>110</v>
      </c>
      <c r="AY138" s="98">
        <v>11</v>
      </c>
      <c r="AZ138" s="98">
        <v>534</v>
      </c>
      <c r="BA138" s="98">
        <v>47</v>
      </c>
      <c r="BB138" s="98">
        <v>101.6</v>
      </c>
      <c r="BC138" s="98">
        <v>6.8</v>
      </c>
      <c r="BD138" s="98">
        <v>891</v>
      </c>
      <c r="BE138" s="98">
        <v>98</v>
      </c>
      <c r="BF138" s="98">
        <v>172</v>
      </c>
      <c r="BG138" s="98">
        <v>18</v>
      </c>
      <c r="BI138" s="93">
        <v>3.6</v>
      </c>
      <c r="BJ138" s="98">
        <v>2.7</v>
      </c>
      <c r="BK138" s="98">
        <v>519000</v>
      </c>
      <c r="BL138" s="98">
        <v>55000</v>
      </c>
      <c r="BM138" s="98">
        <v>9300</v>
      </c>
      <c r="BN138" s="98">
        <v>1000</v>
      </c>
      <c r="BO138" s="99">
        <v>63.5</v>
      </c>
      <c r="BP138" s="98">
        <v>4.8</v>
      </c>
      <c r="BQ138" s="99">
        <v>107.9</v>
      </c>
      <c r="BR138" s="98">
        <v>7.8</v>
      </c>
      <c r="BT138" s="95">
        <f t="shared" ref="BT138:BT170" si="146">BQ138/BD138</f>
        <v>0.12109988776655443</v>
      </c>
      <c r="BU138" s="96">
        <f t="shared" ref="BU138:BU170" si="147">AH138/AL138</f>
        <v>5.4444444444444446</v>
      </c>
      <c r="BV138" s="96">
        <f t="shared" ref="BV138:BV170" si="148">BK138/BM138</f>
        <v>55.806451612903224</v>
      </c>
      <c r="BW138" s="96">
        <f t="shared" ref="BW138:BW170" si="149">BO138/BQ138</f>
        <v>0.58850787766450419</v>
      </c>
      <c r="BX138" s="99">
        <f>CK138/SQRT(CJ138*CL138)</f>
        <v>13.771497628146459</v>
      </c>
      <c r="BY138" s="96">
        <f t="shared" ref="BY138:BY170" si="150">AH138/AL138</f>
        <v>5.4444444444444446</v>
      </c>
      <c r="BZ138" s="97">
        <f t="shared" ref="BZ138:BZ170" si="151">(AH138/AL138)/AD138</f>
        <v>1.6908212560386474E-3</v>
      </c>
      <c r="CA138" s="95">
        <f t="shared" ref="CA138:CA170" si="152">CO138/SQRT(CN138*CP138)</f>
        <v>0.16903534267012538</v>
      </c>
      <c r="CB138" s="99">
        <f t="shared" si="124"/>
        <v>176.58240899516514</v>
      </c>
      <c r="CC138" s="99">
        <f t="shared" si="124"/>
        <v>12.764993421337238</v>
      </c>
      <c r="CD138" s="100">
        <f t="shared" ref="CD138:CD170" si="153">4800/(5.711-LOG(BI138)-LOG(1)+LOG(0.75))-273.15</f>
        <v>681.17012279958135</v>
      </c>
      <c r="CE138" s="100">
        <f>4800/(5.711-LOG(BI138)-LOG(1)+LOG(0.5))-273.15</f>
        <v>715.7928965768109</v>
      </c>
      <c r="CF138" s="100">
        <f t="shared" ref="CF138:CF201" si="154">((((4800^2)*(BI138^2)*(0.072^2)+(4800^2)*(BJ138^2)+(BI138^2)*(86^2)*((5.711-LOG(BI138))^2))/((BI138^2)*(5.711-LOG(BI138))^4))^(1/2))/2</f>
        <v>68.564066529028111</v>
      </c>
      <c r="CG138" s="96">
        <f t="shared" ref="CG138:CG159" si="155">2.28+3.99*LOG(AH138/((CB138*BI138)^(1/2)))</f>
        <v>1.8436180982451682</v>
      </c>
      <c r="CH138" s="96">
        <f t="shared" si="129"/>
        <v>0.82432052510667453</v>
      </c>
      <c r="CJ138" s="95">
        <f>AF138/CJ$4</f>
        <v>1.759493670886076</v>
      </c>
      <c r="CK138" s="93">
        <f t="shared" si="133"/>
        <v>32.026143790849673</v>
      </c>
      <c r="CL138" s="93">
        <f t="shared" si="134"/>
        <v>3.0736842105263156</v>
      </c>
      <c r="CM138" s="93">
        <f t="shared" si="135"/>
        <v>7.7087794432548176</v>
      </c>
      <c r="CN138" s="93">
        <f t="shared" si="136"/>
        <v>50.980392156862742</v>
      </c>
      <c r="CO138" s="93">
        <f t="shared" si="137"/>
        <v>20.862068965517238</v>
      </c>
      <c r="CP138" s="93">
        <f t="shared" si="138"/>
        <v>298.78345498783455</v>
      </c>
      <c r="CQ138" s="93">
        <f t="shared" si="139"/>
        <v>577.54010695187162</v>
      </c>
      <c r="CR138" s="93">
        <f t="shared" si="140"/>
        <v>1169.2913385826771</v>
      </c>
      <c r="CS138" s="93">
        <f t="shared" si="141"/>
        <v>1943.4628975265018</v>
      </c>
      <c r="CT138" s="93">
        <f t="shared" si="142"/>
        <v>3226.5861027190331</v>
      </c>
      <c r="CU138" s="93">
        <f t="shared" si="143"/>
        <v>3984.3137254901962</v>
      </c>
      <c r="CV138" s="93">
        <f t="shared" si="144"/>
        <v>5241.1764705882351</v>
      </c>
      <c r="CW138" s="93">
        <f t="shared" si="145"/>
        <v>6771.6535433070867</v>
      </c>
    </row>
    <row r="139" spans="1:101" s="98" customFormat="1">
      <c r="A139" s="3" t="s">
        <v>367</v>
      </c>
      <c r="B139" s="92" t="s">
        <v>244</v>
      </c>
      <c r="C139" s="3"/>
      <c r="D139" s="93">
        <v>11.012</v>
      </c>
      <c r="E139" s="94">
        <v>0.185</v>
      </c>
      <c r="F139" s="94">
        <v>1.1000000000000001E-3</v>
      </c>
      <c r="G139" s="95">
        <v>12.99</v>
      </c>
      <c r="H139" s="96">
        <v>0.39</v>
      </c>
      <c r="I139" s="97">
        <v>0.51170000000000004</v>
      </c>
      <c r="J139" s="95">
        <v>1.4E-2</v>
      </c>
      <c r="K139" s="96">
        <v>0.74187999999999998</v>
      </c>
      <c r="M139" s="99">
        <v>2663.7</v>
      </c>
      <c r="N139" s="98">
        <v>59</v>
      </c>
      <c r="O139" s="99">
        <v>2697.8</v>
      </c>
      <c r="P139" s="98">
        <v>5.7</v>
      </c>
      <c r="Q139" s="93">
        <v>1.26</v>
      </c>
      <c r="R139" s="97">
        <v>3.8E-3</v>
      </c>
      <c r="T139" s="98">
        <v>360</v>
      </c>
      <c r="U139" s="98">
        <v>160</v>
      </c>
      <c r="V139" s="98">
        <v>0.5</v>
      </c>
      <c r="W139" s="98">
        <v>1.2</v>
      </c>
      <c r="X139" s="98" t="s">
        <v>250</v>
      </c>
      <c r="Y139" s="98" t="s">
        <v>250</v>
      </c>
      <c r="Z139" s="98">
        <v>16.600000000000001</v>
      </c>
      <c r="AA139" s="98">
        <v>2.1</v>
      </c>
      <c r="AB139" s="98">
        <v>3.72</v>
      </c>
      <c r="AC139" s="98">
        <v>0.74</v>
      </c>
      <c r="AD139" s="98">
        <v>2940</v>
      </c>
      <c r="AE139" s="98">
        <v>280</v>
      </c>
      <c r="AF139" s="95">
        <v>8.2000000000000007E-3</v>
      </c>
      <c r="AG139" s="97">
        <v>8.6999999999999994E-3</v>
      </c>
      <c r="AH139" s="96">
        <v>18.7</v>
      </c>
      <c r="AI139" s="96">
        <v>2.7</v>
      </c>
      <c r="AJ139" s="95">
        <v>0.10100000000000001</v>
      </c>
      <c r="AK139" s="95">
        <v>3.5000000000000003E-2</v>
      </c>
      <c r="AL139" s="96">
        <v>2.68</v>
      </c>
      <c r="AM139" s="96">
        <v>0.95</v>
      </c>
      <c r="AN139" s="96">
        <v>8.1</v>
      </c>
      <c r="AO139" s="96">
        <v>1.6</v>
      </c>
      <c r="AP139" s="96">
        <v>1.08</v>
      </c>
      <c r="AQ139" s="96">
        <v>0.38</v>
      </c>
      <c r="AR139" s="96">
        <v>54.4</v>
      </c>
      <c r="AS139" s="93">
        <v>9.4</v>
      </c>
      <c r="AT139" s="96">
        <v>19.600000000000001</v>
      </c>
      <c r="AU139" s="96">
        <v>2</v>
      </c>
      <c r="AV139" s="99">
        <v>261</v>
      </c>
      <c r="AW139" s="98">
        <v>27</v>
      </c>
      <c r="AX139" s="98">
        <v>98</v>
      </c>
      <c r="AY139" s="98">
        <v>10</v>
      </c>
      <c r="AZ139" s="98">
        <v>488</v>
      </c>
      <c r="BA139" s="98">
        <v>44</v>
      </c>
      <c r="BB139" s="98">
        <v>97</v>
      </c>
      <c r="BC139" s="98">
        <v>11</v>
      </c>
      <c r="BD139" s="98">
        <v>807</v>
      </c>
      <c r="BE139" s="98">
        <v>59</v>
      </c>
      <c r="BF139" s="98">
        <v>169</v>
      </c>
      <c r="BG139" s="98">
        <v>20</v>
      </c>
      <c r="BI139" s="93">
        <v>2.6</v>
      </c>
      <c r="BJ139" s="98">
        <v>2</v>
      </c>
      <c r="BK139" s="98">
        <v>592000</v>
      </c>
      <c r="BL139" s="98">
        <v>72000</v>
      </c>
      <c r="BM139" s="98">
        <v>10500</v>
      </c>
      <c r="BN139" s="98">
        <v>1300</v>
      </c>
      <c r="BO139" s="99">
        <v>51.5</v>
      </c>
      <c r="BP139" s="98">
        <v>4.4000000000000004</v>
      </c>
      <c r="BQ139" s="99">
        <v>96</v>
      </c>
      <c r="BR139" s="98">
        <v>8.3000000000000007</v>
      </c>
      <c r="BT139" s="95">
        <f t="shared" si="146"/>
        <v>0.11895910780669144</v>
      </c>
      <c r="BU139" s="96">
        <f t="shared" si="147"/>
        <v>6.9776119402985071</v>
      </c>
      <c r="BV139" s="96">
        <f t="shared" si="148"/>
        <v>56.38095238095238</v>
      </c>
      <c r="BW139" s="96">
        <f t="shared" si="149"/>
        <v>0.53645833333333337</v>
      </c>
      <c r="BX139" s="99">
        <f>CK139/SQRT(CJ139*CL139)</f>
        <v>159.31568930983582</v>
      </c>
      <c r="BY139" s="96">
        <f t="shared" si="150"/>
        <v>6.9776119402985071</v>
      </c>
      <c r="BZ139" s="97">
        <f t="shared" si="151"/>
        <v>2.3733373946593561E-3</v>
      </c>
      <c r="CA139" s="95">
        <f t="shared" si="152"/>
        <v>0.15729156413312037</v>
      </c>
      <c r="CB139" s="99">
        <f t="shared" si="124"/>
        <v>157.10761133953525</v>
      </c>
      <c r="CC139" s="99">
        <f t="shared" si="124"/>
        <v>13.583262230397319</v>
      </c>
      <c r="CD139" s="100">
        <f t="shared" si="153"/>
        <v>655.0879411275821</v>
      </c>
      <c r="CE139" s="100">
        <f t="shared" ref="CE139:CE170" si="156">4800/(5.711-LOG(BI139)-LOG(1)+LOG(0.5))-273.15</f>
        <v>687.81160422515734</v>
      </c>
      <c r="CF139" s="100">
        <f t="shared" si="154"/>
        <v>66.605894471572654</v>
      </c>
      <c r="CG139" s="96">
        <f t="shared" si="155"/>
        <v>2.1453627156708834</v>
      </c>
      <c r="CH139" s="96">
        <f t="shared" si="129"/>
        <v>0.8598139028104318</v>
      </c>
      <c r="CJ139" s="95">
        <f>AF139/CJ$4</f>
        <v>3.4599156118143466E-2</v>
      </c>
      <c r="CK139" s="93">
        <f t="shared" si="133"/>
        <v>30.555555555555554</v>
      </c>
      <c r="CL139" s="93">
        <f t="shared" si="134"/>
        <v>1.0631578947368421</v>
      </c>
      <c r="CM139" s="93">
        <f t="shared" si="135"/>
        <v>5.7387580299785865</v>
      </c>
      <c r="CN139" s="93">
        <f t="shared" si="136"/>
        <v>52.941176470588232</v>
      </c>
      <c r="CO139" s="93">
        <f t="shared" si="137"/>
        <v>18.620689655172413</v>
      </c>
      <c r="CP139" s="93">
        <f t="shared" si="138"/>
        <v>264.72019464720194</v>
      </c>
      <c r="CQ139" s="93">
        <f t="shared" si="139"/>
        <v>524.06417112299471</v>
      </c>
      <c r="CR139" s="93">
        <f t="shared" si="140"/>
        <v>1027.5590551181101</v>
      </c>
      <c r="CS139" s="93">
        <f t="shared" si="141"/>
        <v>1731.4487632508835</v>
      </c>
      <c r="CT139" s="93">
        <f t="shared" si="142"/>
        <v>2948.6404833836855</v>
      </c>
      <c r="CU139" s="93">
        <f t="shared" si="143"/>
        <v>3803.9215686274511</v>
      </c>
      <c r="CV139" s="93">
        <f t="shared" si="144"/>
        <v>4747.0588235294117</v>
      </c>
      <c r="CW139" s="93">
        <f t="shared" si="145"/>
        <v>6653.5433070866147</v>
      </c>
    </row>
    <row r="140" spans="1:101" s="98" customFormat="1">
      <c r="A140" s="3" t="s">
        <v>368</v>
      </c>
      <c r="B140" s="92" t="s">
        <v>244</v>
      </c>
      <c r="C140" s="3"/>
      <c r="D140" s="93">
        <v>11.042999999999999</v>
      </c>
      <c r="E140" s="94">
        <v>0.18403</v>
      </c>
      <c r="F140" s="94">
        <v>1E-3</v>
      </c>
      <c r="G140" s="95">
        <v>13.07</v>
      </c>
      <c r="H140" s="96">
        <v>0.4</v>
      </c>
      <c r="I140" s="97">
        <v>0.51729999999999998</v>
      </c>
      <c r="J140" s="95">
        <v>1.4E-2</v>
      </c>
      <c r="K140" s="96">
        <v>0.85419</v>
      </c>
      <c r="M140" s="99">
        <v>2688</v>
      </c>
      <c r="N140" s="98">
        <v>61</v>
      </c>
      <c r="O140" s="99">
        <v>2689.9</v>
      </c>
      <c r="P140" s="98">
        <v>2.9</v>
      </c>
      <c r="Q140" s="93">
        <v>0.09</v>
      </c>
      <c r="R140" s="97">
        <v>1.8E-3</v>
      </c>
      <c r="T140" s="98">
        <v>410</v>
      </c>
      <c r="U140" s="98">
        <v>150</v>
      </c>
      <c r="V140" s="98">
        <v>1</v>
      </c>
      <c r="W140" s="98">
        <v>1.1000000000000001</v>
      </c>
      <c r="X140" s="98">
        <v>0.16</v>
      </c>
      <c r="Y140" s="98">
        <v>0.15</v>
      </c>
      <c r="Z140" s="98">
        <v>11.2</v>
      </c>
      <c r="AA140" s="98">
        <v>2</v>
      </c>
      <c r="AB140" s="98">
        <v>4.1100000000000003</v>
      </c>
      <c r="AC140" s="98">
        <v>0.97</v>
      </c>
      <c r="AD140" s="98">
        <v>2720</v>
      </c>
      <c r="AE140" s="98">
        <v>340</v>
      </c>
      <c r="AF140" s="95">
        <v>1.9E-2</v>
      </c>
      <c r="AG140" s="97">
        <v>1.4999999999999999E-2</v>
      </c>
      <c r="AH140" s="96">
        <v>15.8</v>
      </c>
      <c r="AI140" s="96">
        <v>2.8</v>
      </c>
      <c r="AJ140" s="95">
        <v>0.10100000000000001</v>
      </c>
      <c r="AK140" s="95">
        <v>5.0999999999999997E-2</v>
      </c>
      <c r="AL140" s="96">
        <v>2.2400000000000002</v>
      </c>
      <c r="AM140" s="96">
        <v>0.91</v>
      </c>
      <c r="AN140" s="96">
        <v>5.6</v>
      </c>
      <c r="AO140" s="96">
        <v>1.4</v>
      </c>
      <c r="AP140" s="96">
        <v>1.21</v>
      </c>
      <c r="AQ140" s="96">
        <v>0.39</v>
      </c>
      <c r="AR140" s="96">
        <v>48.7</v>
      </c>
      <c r="AS140" s="93">
        <v>5.9</v>
      </c>
      <c r="AT140" s="96">
        <v>19.600000000000001</v>
      </c>
      <c r="AU140" s="96">
        <v>2.2000000000000002</v>
      </c>
      <c r="AV140" s="99">
        <v>263</v>
      </c>
      <c r="AW140" s="98">
        <v>30</v>
      </c>
      <c r="AX140" s="98">
        <v>97</v>
      </c>
      <c r="AY140" s="98">
        <v>10</v>
      </c>
      <c r="AZ140" s="98">
        <v>482</v>
      </c>
      <c r="BA140" s="98">
        <v>52</v>
      </c>
      <c r="BB140" s="98">
        <v>93</v>
      </c>
      <c r="BC140" s="98">
        <v>13</v>
      </c>
      <c r="BD140" s="98">
        <v>810</v>
      </c>
      <c r="BE140" s="98">
        <v>110</v>
      </c>
      <c r="BF140" s="98">
        <v>154</v>
      </c>
      <c r="BG140" s="98">
        <v>23</v>
      </c>
      <c r="BI140" s="93">
        <v>5.6</v>
      </c>
      <c r="BJ140" s="98">
        <v>3.2</v>
      </c>
      <c r="BK140" s="98">
        <v>593000</v>
      </c>
      <c r="BL140" s="98">
        <v>87000</v>
      </c>
      <c r="BM140" s="98">
        <v>10300</v>
      </c>
      <c r="BN140" s="98">
        <v>1500</v>
      </c>
      <c r="BO140" s="99">
        <v>95</v>
      </c>
      <c r="BP140" s="98">
        <v>10</v>
      </c>
      <c r="BQ140" s="99">
        <v>130</v>
      </c>
      <c r="BR140" s="98">
        <v>14</v>
      </c>
      <c r="BT140" s="95">
        <f t="shared" si="146"/>
        <v>0.16049382716049382</v>
      </c>
      <c r="BU140" s="96">
        <f t="shared" si="147"/>
        <v>7.0535714285714279</v>
      </c>
      <c r="BV140" s="96">
        <f t="shared" si="148"/>
        <v>57.572815533980581</v>
      </c>
      <c r="BW140" s="96">
        <f t="shared" si="149"/>
        <v>0.73076923076923073</v>
      </c>
      <c r="BX140" s="99">
        <f>CK140/SQRT(CJ140*CL140)</f>
        <v>88.430922000665063</v>
      </c>
      <c r="BY140" s="96">
        <f t="shared" si="150"/>
        <v>7.0535714285714279</v>
      </c>
      <c r="BZ140" s="97">
        <f t="shared" si="151"/>
        <v>2.5932247899159663E-3</v>
      </c>
      <c r="CA140" s="95">
        <f t="shared" si="152"/>
        <v>0.22400128574999603</v>
      </c>
      <c r="CB140" s="99">
        <f t="shared" si="124"/>
        <v>212.74989035562064</v>
      </c>
      <c r="CC140" s="99">
        <f t="shared" si="124"/>
        <v>22.911526653682223</v>
      </c>
      <c r="CD140" s="100">
        <f t="shared" si="153"/>
        <v>719.02151121268412</v>
      </c>
      <c r="CE140" s="100">
        <f t="shared" si="156"/>
        <v>756.4991820815161</v>
      </c>
      <c r="CF140" s="100">
        <f t="shared" si="154"/>
        <v>56.787503124197364</v>
      </c>
      <c r="CG140" s="96">
        <f t="shared" si="155"/>
        <v>0.92590731992461084</v>
      </c>
      <c r="CH140" s="96">
        <f t="shared" si="129"/>
        <v>0.70575093990893867</v>
      </c>
      <c r="CJ140" s="95">
        <f>AF140/CJ$4</f>
        <v>8.0168776371308023E-2</v>
      </c>
      <c r="CK140" s="93">
        <f t="shared" si="133"/>
        <v>25.816993464052288</v>
      </c>
      <c r="CL140" s="93">
        <f t="shared" si="134"/>
        <v>1.0631578947368421</v>
      </c>
      <c r="CM140" s="93">
        <f t="shared" si="135"/>
        <v>4.7965738758029977</v>
      </c>
      <c r="CN140" s="93">
        <f t="shared" si="136"/>
        <v>36.601307189542482</v>
      </c>
      <c r="CO140" s="93">
        <f t="shared" si="137"/>
        <v>20.862068965517238</v>
      </c>
      <c r="CP140" s="93">
        <f t="shared" si="138"/>
        <v>236.98296836982971</v>
      </c>
      <c r="CQ140" s="93">
        <f t="shared" si="139"/>
        <v>524.06417112299471</v>
      </c>
      <c r="CR140" s="93">
        <f t="shared" si="140"/>
        <v>1035.4330708661416</v>
      </c>
      <c r="CS140" s="93">
        <f t="shared" si="141"/>
        <v>1713.7809187279154</v>
      </c>
      <c r="CT140" s="93">
        <f t="shared" si="142"/>
        <v>2912.3867069486405</v>
      </c>
      <c r="CU140" s="93">
        <f t="shared" si="143"/>
        <v>3647.0588235294122</v>
      </c>
      <c r="CV140" s="93">
        <f t="shared" si="144"/>
        <v>4764.7058823529405</v>
      </c>
      <c r="CW140" s="93">
        <f t="shared" si="145"/>
        <v>6062.9921259842522</v>
      </c>
    </row>
    <row r="141" spans="1:101" s="98" customFormat="1">
      <c r="A141" s="3" t="s">
        <v>369</v>
      </c>
      <c r="B141" s="92" t="s">
        <v>244</v>
      </c>
      <c r="C141" s="3"/>
      <c r="D141" s="93">
        <v>11.048999999999999</v>
      </c>
      <c r="E141" s="94">
        <v>0.18410000000000001</v>
      </c>
      <c r="F141" s="94">
        <v>1.6000000000000001E-3</v>
      </c>
      <c r="G141" s="95">
        <v>13.06</v>
      </c>
      <c r="H141" s="96">
        <v>0.4</v>
      </c>
      <c r="I141" s="97">
        <v>0.51659999999999995</v>
      </c>
      <c r="J141" s="95">
        <v>1.4E-2</v>
      </c>
      <c r="K141" s="96">
        <v>0.66825000000000001</v>
      </c>
      <c r="M141" s="99">
        <v>2685</v>
      </c>
      <c r="N141" s="98">
        <v>60</v>
      </c>
      <c r="O141" s="99">
        <v>2689.8</v>
      </c>
      <c r="P141" s="98">
        <v>5.3</v>
      </c>
      <c r="Q141" s="93">
        <v>0.19</v>
      </c>
      <c r="R141" s="97">
        <v>1.9E-3</v>
      </c>
      <c r="T141" s="98">
        <v>330</v>
      </c>
      <c r="U141" s="98">
        <v>140</v>
      </c>
      <c r="V141" s="98" t="s">
        <v>250</v>
      </c>
      <c r="W141" s="98" t="s">
        <v>250</v>
      </c>
      <c r="X141" s="98">
        <v>0.16</v>
      </c>
      <c r="Y141" s="98">
        <v>0.18</v>
      </c>
      <c r="Z141" s="98">
        <v>6</v>
      </c>
      <c r="AA141" s="98">
        <v>1</v>
      </c>
      <c r="AB141" s="98">
        <v>1.98</v>
      </c>
      <c r="AC141" s="98">
        <v>0.64</v>
      </c>
      <c r="AD141" s="98">
        <v>1700</v>
      </c>
      <c r="AE141" s="98">
        <v>170</v>
      </c>
      <c r="AF141" s="95">
        <v>2.5000000000000001E-3</v>
      </c>
      <c r="AG141" s="97">
        <v>7.4000000000000003E-3</v>
      </c>
      <c r="AH141" s="96">
        <v>5.9</v>
      </c>
      <c r="AI141" s="96">
        <v>1</v>
      </c>
      <c r="AJ141" s="95">
        <v>5.7000000000000002E-2</v>
      </c>
      <c r="AK141" s="95">
        <v>3.1E-2</v>
      </c>
      <c r="AL141" s="96">
        <v>1.86</v>
      </c>
      <c r="AM141" s="96">
        <v>0.7</v>
      </c>
      <c r="AN141" s="96">
        <v>3.2</v>
      </c>
      <c r="AO141" s="96">
        <v>0.94</v>
      </c>
      <c r="AP141" s="96">
        <v>0.89</v>
      </c>
      <c r="AQ141" s="96">
        <v>0.34</v>
      </c>
      <c r="AR141" s="96">
        <v>25.2</v>
      </c>
      <c r="AS141" s="93">
        <v>4.3</v>
      </c>
      <c r="AT141" s="96">
        <v>10.3</v>
      </c>
      <c r="AU141" s="96">
        <v>1.2</v>
      </c>
      <c r="AV141" s="99">
        <v>145</v>
      </c>
      <c r="AW141" s="98">
        <v>12</v>
      </c>
      <c r="AX141" s="98">
        <v>56.4</v>
      </c>
      <c r="AY141" s="98">
        <v>5.0999999999999996</v>
      </c>
      <c r="AZ141" s="98">
        <v>280</v>
      </c>
      <c r="BA141" s="98">
        <v>24</v>
      </c>
      <c r="BB141" s="98">
        <v>61</v>
      </c>
      <c r="BC141" s="98">
        <v>6.6</v>
      </c>
      <c r="BD141" s="98">
        <v>523</v>
      </c>
      <c r="BE141" s="98">
        <v>52</v>
      </c>
      <c r="BF141" s="98">
        <v>101</v>
      </c>
      <c r="BG141" s="98">
        <v>11</v>
      </c>
      <c r="BI141" s="93">
        <v>5.7</v>
      </c>
      <c r="BJ141" s="98">
        <v>2.9</v>
      </c>
      <c r="BK141" s="98">
        <v>612000</v>
      </c>
      <c r="BL141" s="98">
        <v>57000</v>
      </c>
      <c r="BM141" s="98">
        <v>10400</v>
      </c>
      <c r="BN141" s="98">
        <v>1200</v>
      </c>
      <c r="BO141" s="99">
        <v>36.200000000000003</v>
      </c>
      <c r="BP141" s="98">
        <v>2.9</v>
      </c>
      <c r="BQ141" s="99">
        <v>64.7</v>
      </c>
      <c r="BR141" s="98">
        <v>5</v>
      </c>
      <c r="BT141" s="95">
        <f t="shared" si="146"/>
        <v>0.1237093690248566</v>
      </c>
      <c r="BU141" s="96">
        <f t="shared" si="147"/>
        <v>3.172043010752688</v>
      </c>
      <c r="BV141" s="96">
        <f t="shared" si="148"/>
        <v>58.846153846153847</v>
      </c>
      <c r="BW141" s="96">
        <f t="shared" si="149"/>
        <v>0.55950540958268935</v>
      </c>
      <c r="BX141" s="99">
        <f>CK141/SQRT(CJ141*CL141)</f>
        <v>121.17949351447967</v>
      </c>
      <c r="BY141" s="96">
        <f t="shared" si="150"/>
        <v>3.172043010752688</v>
      </c>
      <c r="BZ141" s="97">
        <f t="shared" si="151"/>
        <v>1.8659076533839342E-3</v>
      </c>
      <c r="CA141" s="95">
        <f t="shared" si="152"/>
        <v>0.30299703733297295</v>
      </c>
      <c r="CB141" s="99">
        <f t="shared" si="124"/>
        <v>105.88398389237427</v>
      </c>
      <c r="CC141" s="99">
        <f t="shared" si="124"/>
        <v>8.1826880906007933</v>
      </c>
      <c r="CD141" s="100">
        <f t="shared" si="153"/>
        <v>720.60046733787181</v>
      </c>
      <c r="CE141" s="100">
        <f t="shared" si="156"/>
        <v>758.19977835130214</v>
      </c>
      <c r="CF141" s="100">
        <f t="shared" si="154"/>
        <v>50.970428739499297</v>
      </c>
      <c r="CG141" s="96">
        <f t="shared" si="155"/>
        <v>-0.19180720584254862</v>
      </c>
      <c r="CH141" s="96">
        <f t="shared" si="129"/>
        <v>0.6043400305302663</v>
      </c>
      <c r="CJ141" s="95">
        <f>AF141/CJ$4</f>
        <v>1.0548523206751056E-2</v>
      </c>
      <c r="CK141" s="93">
        <f t="shared" si="133"/>
        <v>9.6405228758169947</v>
      </c>
      <c r="CL141" s="93">
        <f t="shared" si="134"/>
        <v>0.6</v>
      </c>
      <c r="CM141" s="93">
        <f t="shared" si="135"/>
        <v>3.9828693790149892</v>
      </c>
      <c r="CN141" s="93">
        <f t="shared" si="136"/>
        <v>20.915032679738562</v>
      </c>
      <c r="CO141" s="93">
        <f t="shared" si="137"/>
        <v>15.344827586206897</v>
      </c>
      <c r="CP141" s="93">
        <f t="shared" si="138"/>
        <v>122.62773722627738</v>
      </c>
      <c r="CQ141" s="93">
        <f t="shared" si="139"/>
        <v>275.40106951871655</v>
      </c>
      <c r="CR141" s="93">
        <f t="shared" si="140"/>
        <v>570.8661417322835</v>
      </c>
      <c r="CS141" s="93">
        <f t="shared" si="141"/>
        <v>996.46643109540639</v>
      </c>
      <c r="CT141" s="93">
        <f t="shared" si="142"/>
        <v>1691.8429003021147</v>
      </c>
      <c r="CU141" s="93">
        <f t="shared" si="143"/>
        <v>2392.1568627450984</v>
      </c>
      <c r="CV141" s="93">
        <f t="shared" si="144"/>
        <v>3076.4705882352937</v>
      </c>
      <c r="CW141" s="93">
        <f t="shared" si="145"/>
        <v>3976.3779527559059</v>
      </c>
    </row>
    <row r="142" spans="1:101" s="98" customFormat="1">
      <c r="A142" s="3" t="s">
        <v>370</v>
      </c>
      <c r="B142" s="92" t="s">
        <v>244</v>
      </c>
      <c r="C142" s="3"/>
      <c r="D142" s="93">
        <v>11.212</v>
      </c>
      <c r="E142" s="94">
        <v>0.18453</v>
      </c>
      <c r="F142" s="94">
        <v>9.7000000000000005E-4</v>
      </c>
      <c r="G142" s="95">
        <v>13.084</v>
      </c>
      <c r="H142" s="96">
        <v>0.39</v>
      </c>
      <c r="I142" s="97">
        <v>0.51680000000000004</v>
      </c>
      <c r="J142" s="95">
        <v>1.4E-2</v>
      </c>
      <c r="K142" s="96">
        <v>0.65437999999999996</v>
      </c>
      <c r="M142" s="99">
        <v>2685.4</v>
      </c>
      <c r="N142" s="98">
        <v>60</v>
      </c>
      <c r="O142" s="99">
        <v>2696.6</v>
      </c>
      <c r="P142" s="98">
        <v>5.8</v>
      </c>
      <c r="Q142" s="93">
        <v>0.41</v>
      </c>
      <c r="R142" s="97">
        <v>2.0999999999999999E-3</v>
      </c>
      <c r="T142" s="98">
        <v>490</v>
      </c>
      <c r="U142" s="98">
        <v>140</v>
      </c>
      <c r="V142" s="98">
        <v>0.3</v>
      </c>
      <c r="W142" s="98">
        <v>1.6</v>
      </c>
      <c r="X142" s="98">
        <v>0.17</v>
      </c>
      <c r="Y142" s="98">
        <v>0.19</v>
      </c>
      <c r="Z142" s="98">
        <v>9.4</v>
      </c>
      <c r="AA142" s="98">
        <v>1.6</v>
      </c>
      <c r="AB142" s="98">
        <v>3.72</v>
      </c>
      <c r="AC142" s="98">
        <v>0.79</v>
      </c>
      <c r="AD142" s="98">
        <v>2260</v>
      </c>
      <c r="AE142" s="98">
        <v>210</v>
      </c>
      <c r="AF142" s="95" t="s">
        <v>250</v>
      </c>
      <c r="AG142" s="97" t="s">
        <v>250</v>
      </c>
      <c r="AH142" s="96">
        <v>12.7</v>
      </c>
      <c r="AI142" s="96">
        <v>1.3</v>
      </c>
      <c r="AJ142" s="95">
        <v>9.7000000000000003E-2</v>
      </c>
      <c r="AK142" s="95">
        <v>3.7999999999999999E-2</v>
      </c>
      <c r="AL142" s="96">
        <v>2.09</v>
      </c>
      <c r="AM142" s="96">
        <v>0.75</v>
      </c>
      <c r="AN142" s="96">
        <v>4.9000000000000004</v>
      </c>
      <c r="AO142" s="96">
        <v>1.7</v>
      </c>
      <c r="AP142" s="96">
        <v>0.78</v>
      </c>
      <c r="AQ142" s="96">
        <v>0.28000000000000003</v>
      </c>
      <c r="AR142" s="96">
        <v>40</v>
      </c>
      <c r="AS142" s="93">
        <v>5.0999999999999996</v>
      </c>
      <c r="AT142" s="96">
        <v>14.4</v>
      </c>
      <c r="AU142" s="96">
        <v>1.9</v>
      </c>
      <c r="AV142" s="99">
        <v>184</v>
      </c>
      <c r="AW142" s="98">
        <v>13</v>
      </c>
      <c r="AX142" s="98">
        <v>75.3</v>
      </c>
      <c r="AY142" s="98">
        <v>5.7</v>
      </c>
      <c r="AZ142" s="98">
        <v>369</v>
      </c>
      <c r="BA142" s="98">
        <v>30</v>
      </c>
      <c r="BB142" s="98">
        <v>74.599999999999994</v>
      </c>
      <c r="BC142" s="98">
        <v>7.3</v>
      </c>
      <c r="BD142" s="98">
        <v>658</v>
      </c>
      <c r="BE142" s="98">
        <v>65</v>
      </c>
      <c r="BF142" s="98">
        <v>125</v>
      </c>
      <c r="BG142" s="98">
        <v>13</v>
      </c>
      <c r="BI142" s="93">
        <v>2.2999999999999998</v>
      </c>
      <c r="BJ142" s="98">
        <v>3.1</v>
      </c>
      <c r="BK142" s="98">
        <v>545000</v>
      </c>
      <c r="BL142" s="98">
        <v>60000</v>
      </c>
      <c r="BM142" s="98">
        <v>10600</v>
      </c>
      <c r="BN142" s="98">
        <v>1100</v>
      </c>
      <c r="BO142" s="99">
        <v>52.3</v>
      </c>
      <c r="BP142" s="98">
        <v>4</v>
      </c>
      <c r="BQ142" s="99">
        <v>88.5</v>
      </c>
      <c r="BR142" s="98">
        <v>6.9</v>
      </c>
      <c r="BT142" s="95">
        <f t="shared" si="146"/>
        <v>0.13449848024316111</v>
      </c>
      <c r="BU142" s="96">
        <f t="shared" si="147"/>
        <v>6.0765550239234454</v>
      </c>
      <c r="BV142" s="96">
        <f t="shared" si="148"/>
        <v>51.415094339622641</v>
      </c>
      <c r="BW142" s="96">
        <f t="shared" si="149"/>
        <v>0.5909604519774011</v>
      </c>
      <c r="BX142" s="99"/>
      <c r="BY142" s="96">
        <f t="shared" si="150"/>
        <v>6.0765550239234454</v>
      </c>
      <c r="BZ142" s="97">
        <f t="shared" si="151"/>
        <v>2.6887411610280734E-3</v>
      </c>
      <c r="CA142" s="95">
        <f t="shared" si="152"/>
        <v>0.17032962958610842</v>
      </c>
      <c r="CB142" s="99">
        <f t="shared" si="124"/>
        <v>144.83357920363406</v>
      </c>
      <c r="CC142" s="99">
        <f t="shared" si="124"/>
        <v>11.292109565029095</v>
      </c>
      <c r="CD142" s="100">
        <f t="shared" si="153"/>
        <v>645.62749893398575</v>
      </c>
      <c r="CE142" s="100">
        <f t="shared" si="156"/>
        <v>677.67601823733116</v>
      </c>
      <c r="CF142" s="100">
        <f t="shared" si="154"/>
        <v>113.49234760735048</v>
      </c>
      <c r="CG142" s="96">
        <f t="shared" si="155"/>
        <v>1.651595633422982</v>
      </c>
      <c r="CH142" s="96">
        <f t="shared" si="129"/>
        <v>1.3783870653364787</v>
      </c>
      <c r="CJ142" s="95"/>
      <c r="CK142" s="93">
        <f t="shared" si="133"/>
        <v>20.751633986928105</v>
      </c>
      <c r="CL142" s="93">
        <f t="shared" si="134"/>
        <v>1.0210526315789474</v>
      </c>
      <c r="CM142" s="93">
        <f t="shared" si="135"/>
        <v>4.4753747323340463</v>
      </c>
      <c r="CN142" s="93">
        <f t="shared" si="136"/>
        <v>32.026143790849673</v>
      </c>
      <c r="CO142" s="93">
        <f t="shared" si="137"/>
        <v>13.448275862068964</v>
      </c>
      <c r="CP142" s="93">
        <f t="shared" si="138"/>
        <v>194.64720194647202</v>
      </c>
      <c r="CQ142" s="93">
        <f t="shared" si="139"/>
        <v>385.02673796791441</v>
      </c>
      <c r="CR142" s="93">
        <f t="shared" si="140"/>
        <v>724.40944881889766</v>
      </c>
      <c r="CS142" s="93">
        <f t="shared" si="141"/>
        <v>1330.3886925795052</v>
      </c>
      <c r="CT142" s="93">
        <f t="shared" si="142"/>
        <v>2229.6072507552867</v>
      </c>
      <c r="CU142" s="93">
        <f t="shared" si="143"/>
        <v>2925.4901960784314</v>
      </c>
      <c r="CV142" s="93">
        <f t="shared" si="144"/>
        <v>3870.5882352941176</v>
      </c>
      <c r="CW142" s="93">
        <f t="shared" si="145"/>
        <v>4921.2598425196857</v>
      </c>
    </row>
    <row r="143" spans="1:101" s="98" customFormat="1">
      <c r="A143" s="3" t="s">
        <v>371</v>
      </c>
      <c r="B143" s="92" t="s">
        <v>244</v>
      </c>
      <c r="C143" s="3" t="s">
        <v>285</v>
      </c>
      <c r="D143" s="93">
        <v>11.057</v>
      </c>
      <c r="E143" s="94">
        <v>0.18417</v>
      </c>
      <c r="F143" s="94">
        <v>7.3999999999999999E-4</v>
      </c>
      <c r="G143" s="95">
        <v>13.193</v>
      </c>
      <c r="H143" s="96">
        <v>0.39</v>
      </c>
      <c r="I143" s="97">
        <v>0.52200000000000002</v>
      </c>
      <c r="J143" s="95">
        <v>1.4E-2</v>
      </c>
      <c r="K143" s="96">
        <v>0.82013000000000003</v>
      </c>
      <c r="M143" s="99">
        <v>2707.4</v>
      </c>
      <c r="N143" s="98">
        <v>60</v>
      </c>
      <c r="O143" s="99">
        <v>2690.7</v>
      </c>
      <c r="P143" s="98">
        <v>3.6</v>
      </c>
      <c r="Q143" s="93">
        <v>-0.62</v>
      </c>
      <c r="R143" s="97">
        <v>3.4000000000000002E-4</v>
      </c>
      <c r="T143" s="98">
        <v>434</v>
      </c>
      <c r="U143" s="98">
        <v>83</v>
      </c>
      <c r="V143" s="98">
        <v>1.5</v>
      </c>
      <c r="W143" s="98">
        <v>1.6</v>
      </c>
      <c r="X143" s="98">
        <v>0.31</v>
      </c>
      <c r="Y143" s="98">
        <v>0.24</v>
      </c>
      <c r="Z143" s="98">
        <v>11.5</v>
      </c>
      <c r="AA143" s="98">
        <v>1.9</v>
      </c>
      <c r="AB143" s="98">
        <v>3.6</v>
      </c>
      <c r="AC143" s="98">
        <v>0.82</v>
      </c>
      <c r="AD143" s="98">
        <v>2210</v>
      </c>
      <c r="AE143" s="98">
        <v>290</v>
      </c>
      <c r="AF143" s="95" t="s">
        <v>250</v>
      </c>
      <c r="AG143" s="97" t="s">
        <v>250</v>
      </c>
      <c r="AH143" s="96">
        <v>12.1</v>
      </c>
      <c r="AI143" s="96">
        <v>2.2999999999999998</v>
      </c>
      <c r="AJ143" s="95">
        <v>0.10199999999999999</v>
      </c>
      <c r="AK143" s="95">
        <v>5.2999999999999999E-2</v>
      </c>
      <c r="AL143" s="96">
        <v>1.59</v>
      </c>
      <c r="AM143" s="96">
        <v>0.9</v>
      </c>
      <c r="AN143" s="96">
        <v>4.5</v>
      </c>
      <c r="AO143" s="96">
        <v>1.2</v>
      </c>
      <c r="AP143" s="96">
        <v>0.86</v>
      </c>
      <c r="AQ143" s="96">
        <v>0.35</v>
      </c>
      <c r="AR143" s="96">
        <v>33.799999999999997</v>
      </c>
      <c r="AS143" s="93">
        <v>5.4</v>
      </c>
      <c r="AT143" s="96">
        <v>13.8</v>
      </c>
      <c r="AU143" s="96">
        <v>1.6</v>
      </c>
      <c r="AV143" s="99">
        <v>194</v>
      </c>
      <c r="AW143" s="98">
        <v>13</v>
      </c>
      <c r="AX143" s="98">
        <v>75.099999999999994</v>
      </c>
      <c r="AY143" s="98">
        <v>6</v>
      </c>
      <c r="AZ143" s="98">
        <v>359</v>
      </c>
      <c r="BA143" s="98">
        <v>31</v>
      </c>
      <c r="BB143" s="98">
        <v>70.400000000000006</v>
      </c>
      <c r="BC143" s="98">
        <v>7</v>
      </c>
      <c r="BD143" s="98">
        <v>634</v>
      </c>
      <c r="BE143" s="98">
        <v>58</v>
      </c>
      <c r="BF143" s="98">
        <v>126</v>
      </c>
      <c r="BG143" s="98">
        <v>11</v>
      </c>
      <c r="BI143" s="93">
        <v>4.0999999999999996</v>
      </c>
      <c r="BJ143" s="98">
        <v>3.1</v>
      </c>
      <c r="BK143" s="98">
        <v>555000</v>
      </c>
      <c r="BL143" s="98">
        <v>68000</v>
      </c>
      <c r="BM143" s="98">
        <v>10550</v>
      </c>
      <c r="BN143" s="98">
        <v>850</v>
      </c>
      <c r="BO143" s="99">
        <v>65.599999999999994</v>
      </c>
      <c r="BP143" s="98">
        <v>5.3</v>
      </c>
      <c r="BQ143" s="99">
        <v>100.5</v>
      </c>
      <c r="BR143" s="98">
        <v>7.8</v>
      </c>
      <c r="BT143" s="95">
        <f t="shared" si="146"/>
        <v>0.15851735015772872</v>
      </c>
      <c r="BU143" s="96">
        <f t="shared" si="147"/>
        <v>7.6100628930817606</v>
      </c>
      <c r="BV143" s="96">
        <f t="shared" si="148"/>
        <v>52.606635071090047</v>
      </c>
      <c r="BW143" s="96">
        <f t="shared" si="149"/>
        <v>0.65273631840796009</v>
      </c>
      <c r="BX143" s="99"/>
      <c r="BY143" s="96">
        <f t="shared" si="150"/>
        <v>7.6100628930817606</v>
      </c>
      <c r="BZ143" s="97">
        <f t="shared" si="151"/>
        <v>3.443467372435186E-3</v>
      </c>
      <c r="CA143" s="95">
        <f t="shared" si="152"/>
        <v>0.21318541003810207</v>
      </c>
      <c r="CB143" s="99">
        <f t="shared" si="124"/>
        <v>164.47203062107596</v>
      </c>
      <c r="CC143" s="99">
        <f t="shared" si="124"/>
        <v>12.764993421337238</v>
      </c>
      <c r="CD143" s="100">
        <f t="shared" si="153"/>
        <v>692.00830658480822</v>
      </c>
      <c r="CE143" s="100">
        <f t="shared" si="156"/>
        <v>727.43656310118683</v>
      </c>
      <c r="CF143" s="100">
        <f t="shared" si="154"/>
        <v>70.636800791433004</v>
      </c>
      <c r="CG143" s="96">
        <f t="shared" si="155"/>
        <v>0.95670618490850456</v>
      </c>
      <c r="CH143" s="96">
        <f t="shared" si="129"/>
        <v>0.86034086242578933</v>
      </c>
      <c r="CJ143" s="95"/>
      <c r="CK143" s="93">
        <f t="shared" si="133"/>
        <v>19.77124183006536</v>
      </c>
      <c r="CL143" s="93">
        <f t="shared" si="134"/>
        <v>1.0736842105263158</v>
      </c>
      <c r="CM143" s="93">
        <f t="shared" si="135"/>
        <v>3.4047109207708779</v>
      </c>
      <c r="CN143" s="93">
        <f t="shared" si="136"/>
        <v>29.411764705882355</v>
      </c>
      <c r="CO143" s="93">
        <f t="shared" si="137"/>
        <v>14.827586206896552</v>
      </c>
      <c r="CP143" s="93">
        <f t="shared" si="138"/>
        <v>164.47688564476886</v>
      </c>
      <c r="CQ143" s="93">
        <f t="shared" si="139"/>
        <v>368.98395721925135</v>
      </c>
      <c r="CR143" s="93">
        <f t="shared" si="140"/>
        <v>763.77952755905505</v>
      </c>
      <c r="CS143" s="93">
        <f t="shared" si="141"/>
        <v>1326.8551236749115</v>
      </c>
      <c r="CT143" s="93">
        <f t="shared" si="142"/>
        <v>2169.1842900302113</v>
      </c>
      <c r="CU143" s="93">
        <f t="shared" si="143"/>
        <v>2760.7843137254904</v>
      </c>
      <c r="CV143" s="93">
        <f t="shared" si="144"/>
        <v>3729.411764705882</v>
      </c>
      <c r="CW143" s="93">
        <f t="shared" si="145"/>
        <v>4960.6299212598424</v>
      </c>
    </row>
    <row r="144" spans="1:101" s="98" customFormat="1">
      <c r="A144" s="3" t="s">
        <v>372</v>
      </c>
      <c r="B144" s="92" t="s">
        <v>244</v>
      </c>
      <c r="C144" s="3" t="s">
        <v>285</v>
      </c>
      <c r="D144" s="93">
        <v>11.004</v>
      </c>
      <c r="E144" s="94">
        <v>0.18459</v>
      </c>
      <c r="F144" s="94">
        <v>6.8000000000000005E-4</v>
      </c>
      <c r="G144" s="95">
        <v>13.46</v>
      </c>
      <c r="H144" s="96">
        <v>0.41</v>
      </c>
      <c r="I144" s="97">
        <v>0.53129999999999999</v>
      </c>
      <c r="J144" s="95">
        <v>1.4999999999999999E-2</v>
      </c>
      <c r="K144" s="96">
        <v>0.95567000000000002</v>
      </c>
      <c r="M144" s="99">
        <v>2747</v>
      </c>
      <c r="N144" s="98">
        <v>63</v>
      </c>
      <c r="O144" s="99">
        <v>2694.2</v>
      </c>
      <c r="P144" s="98">
        <v>3.8</v>
      </c>
      <c r="Q144" s="93">
        <v>-1.94</v>
      </c>
      <c r="R144" s="97">
        <v>4.0999999999999999E-4</v>
      </c>
      <c r="T144" s="98">
        <v>560</v>
      </c>
      <c r="U144" s="98">
        <v>170</v>
      </c>
      <c r="V144" s="98" t="s">
        <v>250</v>
      </c>
      <c r="W144" s="98" t="s">
        <v>250</v>
      </c>
      <c r="X144" s="98">
        <v>0.35</v>
      </c>
      <c r="Y144" s="98">
        <v>0.25</v>
      </c>
      <c r="Z144" s="98">
        <v>10.9</v>
      </c>
      <c r="AA144" s="98">
        <v>1.6</v>
      </c>
      <c r="AB144" s="98">
        <v>3.25</v>
      </c>
      <c r="AC144" s="98">
        <v>0.64</v>
      </c>
      <c r="AD144" s="98">
        <v>4790</v>
      </c>
      <c r="AE144" s="98">
        <v>470</v>
      </c>
      <c r="AF144" s="95">
        <v>0.54</v>
      </c>
      <c r="AG144" s="97">
        <v>0.14000000000000001</v>
      </c>
      <c r="AH144" s="96">
        <v>15.6</v>
      </c>
      <c r="AI144" s="96">
        <v>1.9</v>
      </c>
      <c r="AJ144" s="95">
        <v>0.49</v>
      </c>
      <c r="AK144" s="95">
        <v>0.12</v>
      </c>
      <c r="AL144" s="96">
        <v>6.9</v>
      </c>
      <c r="AM144" s="96">
        <v>1.4</v>
      </c>
      <c r="AN144" s="96">
        <v>13.3</v>
      </c>
      <c r="AO144" s="96">
        <v>2.1</v>
      </c>
      <c r="AP144" s="96">
        <v>2.08</v>
      </c>
      <c r="AQ144" s="96">
        <v>0.46</v>
      </c>
      <c r="AR144" s="96">
        <v>92.2</v>
      </c>
      <c r="AS144" s="93">
        <v>9.8000000000000007</v>
      </c>
      <c r="AT144" s="96">
        <v>33.4</v>
      </c>
      <c r="AU144" s="96">
        <v>3.1</v>
      </c>
      <c r="AV144" s="99">
        <v>444</v>
      </c>
      <c r="AW144" s="98">
        <v>32</v>
      </c>
      <c r="AX144" s="98">
        <v>166</v>
      </c>
      <c r="AY144" s="98">
        <v>11</v>
      </c>
      <c r="AZ144" s="98">
        <v>786</v>
      </c>
      <c r="BA144" s="98">
        <v>79</v>
      </c>
      <c r="BB144" s="98">
        <v>160</v>
      </c>
      <c r="BC144" s="98">
        <v>12</v>
      </c>
      <c r="BD144" s="98">
        <v>1340</v>
      </c>
      <c r="BE144" s="98">
        <v>150</v>
      </c>
      <c r="BF144" s="98">
        <v>253</v>
      </c>
      <c r="BG144" s="98">
        <v>27</v>
      </c>
      <c r="BI144" s="93">
        <v>1.1000000000000001</v>
      </c>
      <c r="BJ144" s="98">
        <v>2.2000000000000002</v>
      </c>
      <c r="BK144" s="98">
        <v>566000</v>
      </c>
      <c r="BL144" s="98">
        <v>59000</v>
      </c>
      <c r="BM144" s="98">
        <v>9800</v>
      </c>
      <c r="BN144" s="98">
        <v>970</v>
      </c>
      <c r="BO144" s="99">
        <v>86.4</v>
      </c>
      <c r="BP144" s="98">
        <v>6.3</v>
      </c>
      <c r="BQ144" s="99">
        <v>129.80000000000001</v>
      </c>
      <c r="BR144" s="98">
        <v>9.6</v>
      </c>
      <c r="BT144" s="95">
        <f t="shared" si="146"/>
        <v>9.6865671641791051E-2</v>
      </c>
      <c r="BU144" s="96">
        <f t="shared" si="147"/>
        <v>2.2608695652173911</v>
      </c>
      <c r="BV144" s="96">
        <f t="shared" si="148"/>
        <v>57.755102040816325</v>
      </c>
      <c r="BW144" s="96">
        <f t="shared" si="149"/>
        <v>0.66563944530046226</v>
      </c>
      <c r="BX144" s="99">
        <f>CK144/SQRT(CJ144*CL144)</f>
        <v>7.435569407854083</v>
      </c>
      <c r="BY144" s="96">
        <f t="shared" si="150"/>
        <v>2.2608695652173911</v>
      </c>
      <c r="BZ144" s="97">
        <f t="shared" si="151"/>
        <v>4.7199782154851589E-4</v>
      </c>
      <c r="CA144" s="95">
        <f t="shared" si="152"/>
        <v>0.18159157227594264</v>
      </c>
      <c r="CB144" s="99">
        <f t="shared" si="124"/>
        <v>212.42258283199664</v>
      </c>
      <c r="CC144" s="99">
        <f t="shared" si="124"/>
        <v>15.710761133953524</v>
      </c>
      <c r="CD144" s="100">
        <f t="shared" si="153"/>
        <v>592.54646720512812</v>
      </c>
      <c r="CE144" s="100">
        <f t="shared" si="156"/>
        <v>620.94162141584434</v>
      </c>
      <c r="CF144" s="100">
        <f t="shared" si="154"/>
        <v>149.61503440537913</v>
      </c>
      <c r="CG144" s="96">
        <f t="shared" si="155"/>
        <v>2.3152233737832373</v>
      </c>
      <c r="CH144" s="96">
        <f t="shared" si="129"/>
        <v>2.027800686486005</v>
      </c>
      <c r="CJ144" s="95">
        <f>AF144/CJ$4</f>
        <v>2.278481012658228</v>
      </c>
      <c r="CK144" s="93">
        <f t="shared" si="133"/>
        <v>25.490196078431371</v>
      </c>
      <c r="CL144" s="93">
        <f t="shared" si="134"/>
        <v>5.1578947368421053</v>
      </c>
      <c r="CM144" s="93">
        <f t="shared" si="135"/>
        <v>14.775160599571734</v>
      </c>
      <c r="CN144" s="93">
        <f t="shared" si="136"/>
        <v>86.928104575163403</v>
      </c>
      <c r="CO144" s="93">
        <f t="shared" si="137"/>
        <v>35.862068965517238</v>
      </c>
      <c r="CP144" s="93">
        <f t="shared" si="138"/>
        <v>448.66180048661806</v>
      </c>
      <c r="CQ144" s="93">
        <f t="shared" si="139"/>
        <v>893.04812834224583</v>
      </c>
      <c r="CR144" s="93">
        <f t="shared" si="140"/>
        <v>1748.0314960629921</v>
      </c>
      <c r="CS144" s="93">
        <f t="shared" si="141"/>
        <v>2932.8621908127211</v>
      </c>
      <c r="CT144" s="93">
        <f t="shared" si="142"/>
        <v>4749.244712990936</v>
      </c>
      <c r="CU144" s="93">
        <f t="shared" si="143"/>
        <v>6274.5098039215691</v>
      </c>
      <c r="CV144" s="93">
        <f t="shared" si="144"/>
        <v>7882.3529411764703</v>
      </c>
      <c r="CW144" s="93">
        <f t="shared" si="145"/>
        <v>9960.6299212598424</v>
      </c>
    </row>
    <row r="145" spans="1:101" s="98" customFormat="1">
      <c r="A145" s="3" t="s">
        <v>373</v>
      </c>
      <c r="B145" s="92" t="s">
        <v>244</v>
      </c>
      <c r="C145" s="3"/>
      <c r="D145" s="93">
        <v>11.009</v>
      </c>
      <c r="E145" s="94">
        <v>0.18479000000000001</v>
      </c>
      <c r="F145" s="94">
        <v>7.3999999999999999E-4</v>
      </c>
      <c r="G145" s="95">
        <v>13.125999999999999</v>
      </c>
      <c r="H145" s="96">
        <v>0.39</v>
      </c>
      <c r="I145" s="97">
        <v>0.51759999999999995</v>
      </c>
      <c r="J145" s="95">
        <v>1.4E-2</v>
      </c>
      <c r="K145" s="96">
        <v>0.74202999999999997</v>
      </c>
      <c r="M145" s="99">
        <v>2689</v>
      </c>
      <c r="N145" s="98">
        <v>60</v>
      </c>
      <c r="O145" s="99">
        <v>2696.4</v>
      </c>
      <c r="P145" s="98">
        <v>3.4</v>
      </c>
      <c r="Q145" s="93">
        <v>0.21</v>
      </c>
      <c r="R145" s="97">
        <v>1.1199999999999999E-3</v>
      </c>
      <c r="T145" s="98">
        <v>310</v>
      </c>
      <c r="U145" s="98">
        <v>110</v>
      </c>
      <c r="V145" s="98" t="s">
        <v>250</v>
      </c>
      <c r="W145" s="98" t="s">
        <v>250</v>
      </c>
      <c r="X145" s="98">
        <v>0.2</v>
      </c>
      <c r="Y145" s="98">
        <v>0.16</v>
      </c>
      <c r="Z145" s="98">
        <v>11.7</v>
      </c>
      <c r="AA145" s="98">
        <v>1.9</v>
      </c>
      <c r="AB145" s="98">
        <v>3.48</v>
      </c>
      <c r="AC145" s="98">
        <v>0.78</v>
      </c>
      <c r="AD145" s="98">
        <v>2120</v>
      </c>
      <c r="AE145" s="98">
        <v>250</v>
      </c>
      <c r="AF145" s="95" t="s">
        <v>250</v>
      </c>
      <c r="AG145" s="97" t="s">
        <v>250</v>
      </c>
      <c r="AH145" s="96">
        <v>12.3</v>
      </c>
      <c r="AI145" s="96">
        <v>1.9</v>
      </c>
      <c r="AJ145" s="95">
        <v>0.10100000000000001</v>
      </c>
      <c r="AK145" s="95">
        <v>3.6999999999999998E-2</v>
      </c>
      <c r="AL145" s="96">
        <v>1.75</v>
      </c>
      <c r="AM145" s="96">
        <v>0.74</v>
      </c>
      <c r="AN145" s="96">
        <v>4.2300000000000004</v>
      </c>
      <c r="AO145" s="96">
        <v>0.92</v>
      </c>
      <c r="AP145" s="96">
        <v>0.48</v>
      </c>
      <c r="AQ145" s="96">
        <v>0.21</v>
      </c>
      <c r="AR145" s="96">
        <v>37.9</v>
      </c>
      <c r="AS145" s="93">
        <v>4.7</v>
      </c>
      <c r="AT145" s="96">
        <v>14</v>
      </c>
      <c r="AU145" s="96">
        <v>1.8</v>
      </c>
      <c r="AV145" s="99">
        <v>185</v>
      </c>
      <c r="AW145" s="98">
        <v>17</v>
      </c>
      <c r="AX145" s="98">
        <v>69.3</v>
      </c>
      <c r="AY145" s="98">
        <v>6.4</v>
      </c>
      <c r="AZ145" s="98">
        <v>356</v>
      </c>
      <c r="BA145" s="98">
        <v>44</v>
      </c>
      <c r="BB145" s="98">
        <v>67.2</v>
      </c>
      <c r="BC145" s="98">
        <v>6.3</v>
      </c>
      <c r="BD145" s="98">
        <v>619</v>
      </c>
      <c r="BE145" s="98">
        <v>73</v>
      </c>
      <c r="BF145" s="98">
        <v>113</v>
      </c>
      <c r="BG145" s="98">
        <v>12</v>
      </c>
      <c r="BI145" s="93">
        <v>3.6</v>
      </c>
      <c r="BJ145" s="98">
        <v>2.4</v>
      </c>
      <c r="BK145" s="98">
        <v>526000</v>
      </c>
      <c r="BL145" s="98">
        <v>55000</v>
      </c>
      <c r="BM145" s="98">
        <v>9600</v>
      </c>
      <c r="BN145" s="98">
        <v>1200</v>
      </c>
      <c r="BO145" s="99">
        <v>67.3</v>
      </c>
      <c r="BP145" s="98">
        <v>6.2</v>
      </c>
      <c r="BQ145" s="99">
        <v>99.9</v>
      </c>
      <c r="BR145" s="98">
        <v>9.5</v>
      </c>
      <c r="BT145" s="95">
        <f t="shared" si="146"/>
        <v>0.16138933764135704</v>
      </c>
      <c r="BU145" s="96">
        <f t="shared" si="147"/>
        <v>7.0285714285714294</v>
      </c>
      <c r="BV145" s="96">
        <f t="shared" si="148"/>
        <v>54.791666666666664</v>
      </c>
      <c r="BW145" s="96">
        <f t="shared" si="149"/>
        <v>0.67367367367367359</v>
      </c>
      <c r="BX145" s="99"/>
      <c r="BY145" s="96">
        <f t="shared" si="150"/>
        <v>7.0285714285714294</v>
      </c>
      <c r="BZ145" s="97">
        <f t="shared" si="151"/>
        <v>3.3153638814016175E-3</v>
      </c>
      <c r="CA145" s="95">
        <f t="shared" si="152"/>
        <v>0.11589777104432671</v>
      </c>
      <c r="CB145" s="99">
        <f t="shared" si="124"/>
        <v>163.49010805020387</v>
      </c>
      <c r="CC145" s="99">
        <f t="shared" si="124"/>
        <v>15.547107372141507</v>
      </c>
      <c r="CD145" s="100">
        <f t="shared" si="153"/>
        <v>681.17012279958135</v>
      </c>
      <c r="CE145" s="100">
        <f t="shared" si="156"/>
        <v>715.7928965768109</v>
      </c>
      <c r="CF145" s="100">
        <f t="shared" si="154"/>
        <v>61.138173298504604</v>
      </c>
      <c r="CG145" s="96">
        <f t="shared" si="155"/>
        <v>1.1029824013075986</v>
      </c>
      <c r="CH145" s="96">
        <f t="shared" si="129"/>
        <v>0.76193776631353338</v>
      </c>
      <c r="CJ145" s="95"/>
      <c r="CK145" s="93">
        <f t="shared" si="133"/>
        <v>20.098039215686278</v>
      </c>
      <c r="CL145" s="93">
        <f t="shared" si="134"/>
        <v>1.0631578947368421</v>
      </c>
      <c r="CM145" s="93">
        <f t="shared" si="135"/>
        <v>3.7473233404710919</v>
      </c>
      <c r="CN145" s="93">
        <f t="shared" si="136"/>
        <v>27.647058823529417</v>
      </c>
      <c r="CO145" s="93">
        <f t="shared" si="137"/>
        <v>8.275862068965516</v>
      </c>
      <c r="CP145" s="93">
        <f t="shared" si="138"/>
        <v>184.42822384428223</v>
      </c>
      <c r="CQ145" s="93">
        <f t="shared" si="139"/>
        <v>374.33155080213902</v>
      </c>
      <c r="CR145" s="93">
        <f t="shared" si="140"/>
        <v>728.34645669291342</v>
      </c>
      <c r="CS145" s="93">
        <f t="shared" si="141"/>
        <v>1224.3816254416961</v>
      </c>
      <c r="CT145" s="93">
        <f t="shared" si="142"/>
        <v>2151.0574018126886</v>
      </c>
      <c r="CU145" s="93">
        <f t="shared" si="143"/>
        <v>2635.294117647059</v>
      </c>
      <c r="CV145" s="93">
        <f t="shared" si="144"/>
        <v>3641.1764705882351</v>
      </c>
      <c r="CW145" s="93">
        <f t="shared" si="145"/>
        <v>4448.8188976377951</v>
      </c>
    </row>
    <row r="146" spans="1:101" s="98" customFormat="1">
      <c r="A146" s="3" t="s">
        <v>374</v>
      </c>
      <c r="B146" s="92" t="s">
        <v>244</v>
      </c>
      <c r="C146" s="3" t="s">
        <v>285</v>
      </c>
      <c r="D146" s="93">
        <v>11.007</v>
      </c>
      <c r="E146" s="94">
        <v>0.1842</v>
      </c>
      <c r="F146" s="94">
        <v>1.1000000000000001E-3</v>
      </c>
      <c r="G146" s="95">
        <v>12.993</v>
      </c>
      <c r="H146" s="96">
        <v>0.39</v>
      </c>
      <c r="I146" s="97">
        <v>0.51400000000000001</v>
      </c>
      <c r="J146" s="95">
        <v>1.4E-2</v>
      </c>
      <c r="K146" s="96">
        <v>0.63541000000000003</v>
      </c>
      <c r="M146" s="99">
        <v>2673.6</v>
      </c>
      <c r="N146" s="98">
        <v>60</v>
      </c>
      <c r="O146" s="99">
        <v>2691</v>
      </c>
      <c r="P146" s="98">
        <v>6</v>
      </c>
      <c r="Q146" s="93">
        <v>0.64</v>
      </c>
      <c r="R146" s="97">
        <v>2.0999999999999999E-3</v>
      </c>
      <c r="T146" s="98">
        <v>590</v>
      </c>
      <c r="U146" s="98">
        <v>120</v>
      </c>
      <c r="V146" s="98" t="s">
        <v>250</v>
      </c>
      <c r="W146" s="98" t="s">
        <v>250</v>
      </c>
      <c r="X146" s="98" t="s">
        <v>250</v>
      </c>
      <c r="Y146" s="98" t="s">
        <v>250</v>
      </c>
      <c r="Z146" s="98">
        <v>12.2</v>
      </c>
      <c r="AA146" s="98">
        <v>2</v>
      </c>
      <c r="AB146" s="98">
        <v>3.66</v>
      </c>
      <c r="AC146" s="98">
        <v>0.91</v>
      </c>
      <c r="AD146" s="98">
        <v>2570</v>
      </c>
      <c r="AE146" s="98">
        <v>300</v>
      </c>
      <c r="AF146" s="95">
        <v>0.16700000000000001</v>
      </c>
      <c r="AG146" s="97">
        <v>4.5999999999999999E-2</v>
      </c>
      <c r="AH146" s="96">
        <v>14.2</v>
      </c>
      <c r="AI146" s="96">
        <v>1.6</v>
      </c>
      <c r="AJ146" s="95">
        <v>0.13200000000000001</v>
      </c>
      <c r="AK146" s="95">
        <v>5.3999999999999999E-2</v>
      </c>
      <c r="AL146" s="96">
        <v>3.06</v>
      </c>
      <c r="AM146" s="96">
        <v>0.97</v>
      </c>
      <c r="AN146" s="96">
        <v>5.5</v>
      </c>
      <c r="AO146" s="96">
        <v>1.3</v>
      </c>
      <c r="AP146" s="96">
        <v>0.56999999999999995</v>
      </c>
      <c r="AQ146" s="96">
        <v>0.19</v>
      </c>
      <c r="AR146" s="96">
        <v>48.9</v>
      </c>
      <c r="AS146" s="93">
        <v>5.8</v>
      </c>
      <c r="AT146" s="96">
        <v>17</v>
      </c>
      <c r="AU146" s="96">
        <v>1.9</v>
      </c>
      <c r="AV146" s="99">
        <v>229</v>
      </c>
      <c r="AW146" s="98">
        <v>18</v>
      </c>
      <c r="AX146" s="98">
        <v>89.4</v>
      </c>
      <c r="AY146" s="98">
        <v>7.8</v>
      </c>
      <c r="AZ146" s="98">
        <v>426</v>
      </c>
      <c r="BA146" s="98">
        <v>30</v>
      </c>
      <c r="BB146" s="98">
        <v>81.7</v>
      </c>
      <c r="BC146" s="98">
        <v>8.5</v>
      </c>
      <c r="BD146" s="98">
        <v>733</v>
      </c>
      <c r="BE146" s="98">
        <v>77</v>
      </c>
      <c r="BF146" s="98">
        <v>139</v>
      </c>
      <c r="BG146" s="98">
        <v>14</v>
      </c>
      <c r="BI146" s="93">
        <v>3.9</v>
      </c>
      <c r="BJ146" s="98">
        <v>3.4</v>
      </c>
      <c r="BK146" s="98">
        <v>533000</v>
      </c>
      <c r="BL146" s="98">
        <v>58000</v>
      </c>
      <c r="BM146" s="98">
        <v>10400</v>
      </c>
      <c r="BN146" s="98">
        <v>1200</v>
      </c>
      <c r="BO146" s="99">
        <v>54.7</v>
      </c>
      <c r="BP146" s="98">
        <v>4</v>
      </c>
      <c r="BQ146" s="99">
        <v>88.9</v>
      </c>
      <c r="BR146" s="98">
        <v>6.7</v>
      </c>
      <c r="BT146" s="95">
        <f t="shared" si="146"/>
        <v>0.12128240109140519</v>
      </c>
      <c r="BU146" s="96">
        <f t="shared" si="147"/>
        <v>4.640522875816993</v>
      </c>
      <c r="BV146" s="96">
        <f t="shared" si="148"/>
        <v>51.25</v>
      </c>
      <c r="BW146" s="96">
        <f t="shared" si="149"/>
        <v>0.61529808773903261</v>
      </c>
      <c r="BX146" s="99">
        <f>CK146/SQRT(CJ146*CL146)</f>
        <v>23.449181962214883</v>
      </c>
      <c r="BY146" s="96">
        <f t="shared" si="150"/>
        <v>4.640522875816993</v>
      </c>
      <c r="BZ146" s="97">
        <f t="shared" si="151"/>
        <v>1.8056509244424098E-3</v>
      </c>
      <c r="CA146" s="95">
        <f t="shared" si="152"/>
        <v>0.10625826399824388</v>
      </c>
      <c r="CB146" s="99">
        <f t="shared" si="124"/>
        <v>145.48819425088212</v>
      </c>
      <c r="CC146" s="99">
        <f t="shared" si="124"/>
        <v>10.964802041405063</v>
      </c>
      <c r="CD146" s="100">
        <f t="shared" si="153"/>
        <v>687.81160422515734</v>
      </c>
      <c r="CE146" s="100">
        <f t="shared" si="156"/>
        <v>722.9268274637484</v>
      </c>
      <c r="CF146" s="100">
        <f t="shared" si="154"/>
        <v>80.528118742531532</v>
      </c>
      <c r="CG146" s="96">
        <f t="shared" si="155"/>
        <v>1.3836152346409269</v>
      </c>
      <c r="CH146" s="96">
        <f t="shared" si="129"/>
        <v>0.91951546509899496</v>
      </c>
      <c r="CJ146" s="95">
        <f>AF146/CJ$4</f>
        <v>0.70464135021097052</v>
      </c>
      <c r="CK146" s="93">
        <f t="shared" si="133"/>
        <v>23.202614379084967</v>
      </c>
      <c r="CL146" s="93">
        <f t="shared" si="134"/>
        <v>1.3894736842105264</v>
      </c>
      <c r="CM146" s="93">
        <f t="shared" si="135"/>
        <v>6.552462526766595</v>
      </c>
      <c r="CN146" s="93">
        <f t="shared" si="136"/>
        <v>35.947712418300654</v>
      </c>
      <c r="CO146" s="93">
        <f t="shared" si="137"/>
        <v>9.8275862068965498</v>
      </c>
      <c r="CP146" s="93">
        <f t="shared" si="138"/>
        <v>237.95620437956205</v>
      </c>
      <c r="CQ146" s="93">
        <f t="shared" si="139"/>
        <v>454.5454545454545</v>
      </c>
      <c r="CR146" s="93">
        <f t="shared" si="140"/>
        <v>901.57480314960628</v>
      </c>
      <c r="CS146" s="93">
        <f t="shared" si="141"/>
        <v>1579.5053003533571</v>
      </c>
      <c r="CT146" s="93">
        <f t="shared" si="142"/>
        <v>2574.0181268882175</v>
      </c>
      <c r="CU146" s="93">
        <f t="shared" si="143"/>
        <v>3203.9215686274515</v>
      </c>
      <c r="CV146" s="93">
        <f t="shared" si="144"/>
        <v>4311.7647058823522</v>
      </c>
      <c r="CW146" s="93">
        <f t="shared" si="145"/>
        <v>5472.4409448818897</v>
      </c>
    </row>
    <row r="147" spans="1:101" s="98" customFormat="1">
      <c r="A147" s="3" t="s">
        <v>375</v>
      </c>
      <c r="B147" s="92" t="s">
        <v>244</v>
      </c>
      <c r="C147" s="3" t="s">
        <v>285</v>
      </c>
      <c r="D147" s="93">
        <v>11.048</v>
      </c>
      <c r="E147" s="94">
        <v>0.18537000000000001</v>
      </c>
      <c r="F147" s="94">
        <v>1E-3</v>
      </c>
      <c r="G147" s="95">
        <v>13.260999999999999</v>
      </c>
      <c r="H147" s="96">
        <v>0.4</v>
      </c>
      <c r="I147" s="97">
        <v>0.52139999999999997</v>
      </c>
      <c r="J147" s="95">
        <v>1.4E-2</v>
      </c>
      <c r="K147" s="96">
        <v>0.71860999999999997</v>
      </c>
      <c r="M147" s="99">
        <v>2705</v>
      </c>
      <c r="N147" s="98">
        <v>61</v>
      </c>
      <c r="O147" s="99">
        <v>2701.9</v>
      </c>
      <c r="P147" s="98">
        <v>4.5999999999999996</v>
      </c>
      <c r="Q147" s="93">
        <v>-0.12</v>
      </c>
      <c r="R147" s="97">
        <v>1.06E-3</v>
      </c>
      <c r="T147" s="98">
        <v>490</v>
      </c>
      <c r="U147" s="98">
        <v>160</v>
      </c>
      <c r="V147" s="98" t="s">
        <v>250</v>
      </c>
      <c r="W147" s="98" t="s">
        <v>250</v>
      </c>
      <c r="X147" s="98">
        <v>0.21</v>
      </c>
      <c r="Y147" s="98">
        <v>0.2</v>
      </c>
      <c r="Z147" s="98">
        <v>10.9</v>
      </c>
      <c r="AA147" s="98">
        <v>2</v>
      </c>
      <c r="AB147" s="98">
        <v>2.81</v>
      </c>
      <c r="AC147" s="98">
        <v>0.6</v>
      </c>
      <c r="AD147" s="98">
        <v>3510</v>
      </c>
      <c r="AE147" s="98">
        <v>340</v>
      </c>
      <c r="AF147" s="95">
        <v>0.121</v>
      </c>
      <c r="AG147" s="97">
        <v>6.4000000000000001E-2</v>
      </c>
      <c r="AH147" s="96">
        <v>15.8</v>
      </c>
      <c r="AI147" s="96">
        <v>2.8</v>
      </c>
      <c r="AJ147" s="95">
        <v>0.19900000000000001</v>
      </c>
      <c r="AK147" s="95">
        <v>6.2E-2</v>
      </c>
      <c r="AL147" s="96">
        <v>3.73</v>
      </c>
      <c r="AM147" s="96">
        <v>0.99</v>
      </c>
      <c r="AN147" s="96">
        <v>9.5</v>
      </c>
      <c r="AO147" s="96">
        <v>1.9</v>
      </c>
      <c r="AP147" s="96">
        <v>1.28</v>
      </c>
      <c r="AQ147" s="96">
        <v>0.32</v>
      </c>
      <c r="AR147" s="96">
        <v>58.9</v>
      </c>
      <c r="AS147" s="93">
        <v>8.8000000000000007</v>
      </c>
      <c r="AT147" s="96">
        <v>23.3</v>
      </c>
      <c r="AU147" s="96">
        <v>2.9</v>
      </c>
      <c r="AV147" s="99">
        <v>309</v>
      </c>
      <c r="AW147" s="98">
        <v>29</v>
      </c>
      <c r="AX147" s="98">
        <v>121</v>
      </c>
      <c r="AY147" s="98">
        <v>11</v>
      </c>
      <c r="AZ147" s="98">
        <v>579</v>
      </c>
      <c r="BA147" s="98">
        <v>50</v>
      </c>
      <c r="BB147" s="98">
        <v>116</v>
      </c>
      <c r="BC147" s="98">
        <v>12</v>
      </c>
      <c r="BD147" s="98">
        <v>909</v>
      </c>
      <c r="BE147" s="98">
        <v>94</v>
      </c>
      <c r="BF147" s="98">
        <v>183</v>
      </c>
      <c r="BG147" s="98">
        <v>20</v>
      </c>
      <c r="BI147" s="93">
        <v>3.2</v>
      </c>
      <c r="BJ147" s="98">
        <v>2.5</v>
      </c>
      <c r="BK147" s="98">
        <v>564000</v>
      </c>
      <c r="BL147" s="98">
        <v>54000</v>
      </c>
      <c r="BM147" s="98">
        <v>10180</v>
      </c>
      <c r="BN147" s="98">
        <v>910</v>
      </c>
      <c r="BO147" s="99">
        <v>94.5</v>
      </c>
      <c r="BP147" s="98">
        <v>7.8</v>
      </c>
      <c r="BQ147" s="99">
        <v>125</v>
      </c>
      <c r="BR147" s="98">
        <v>11</v>
      </c>
      <c r="BT147" s="95">
        <f t="shared" si="146"/>
        <v>0.13751375137513752</v>
      </c>
      <c r="BU147" s="96">
        <f t="shared" si="147"/>
        <v>4.2359249329758715</v>
      </c>
      <c r="BV147" s="96">
        <f t="shared" si="148"/>
        <v>55.402750491159132</v>
      </c>
      <c r="BW147" s="96">
        <f t="shared" si="149"/>
        <v>0.75600000000000001</v>
      </c>
      <c r="BX147" s="99">
        <f>CK147/SQRT(CJ147*CL147)</f>
        <v>24.964473837147747</v>
      </c>
      <c r="BY147" s="96">
        <f t="shared" si="150"/>
        <v>4.2359249329758715</v>
      </c>
      <c r="BZ147" s="97">
        <f t="shared" si="151"/>
        <v>1.2068162202210459E-3</v>
      </c>
      <c r="CA147" s="95">
        <f t="shared" si="152"/>
        <v>0.1654299561247709</v>
      </c>
      <c r="CB147" s="99">
        <f t="shared" si="124"/>
        <v>204.56720226501983</v>
      </c>
      <c r="CC147" s="99">
        <f t="shared" si="124"/>
        <v>18.001913799321745</v>
      </c>
      <c r="CD147" s="100">
        <f t="shared" si="153"/>
        <v>671.56242080192612</v>
      </c>
      <c r="CE147" s="100">
        <f t="shared" si="156"/>
        <v>705.47917997803654</v>
      </c>
      <c r="CF147" s="100">
        <f t="shared" si="154"/>
        <v>69.968415793975993</v>
      </c>
      <c r="CG147" s="96">
        <f t="shared" si="155"/>
        <v>1.4447497389548352</v>
      </c>
      <c r="CH147" s="96">
        <f t="shared" si="129"/>
        <v>0.8836505773139457</v>
      </c>
      <c r="CJ147" s="95">
        <f>AF147/CJ$4</f>
        <v>0.51054852320675104</v>
      </c>
      <c r="CK147" s="93">
        <f t="shared" si="133"/>
        <v>25.816993464052288</v>
      </c>
      <c r="CL147" s="93">
        <f t="shared" si="134"/>
        <v>2.0947368421052635</v>
      </c>
      <c r="CM147" s="93">
        <f t="shared" si="135"/>
        <v>7.9871520342612419</v>
      </c>
      <c r="CN147" s="93">
        <f t="shared" si="136"/>
        <v>62.091503267973856</v>
      </c>
      <c r="CO147" s="93">
        <f t="shared" si="137"/>
        <v>22.068965517241377</v>
      </c>
      <c r="CP147" s="93">
        <f t="shared" si="138"/>
        <v>286.61800486618006</v>
      </c>
      <c r="CQ147" s="93">
        <f t="shared" si="139"/>
        <v>622.99465240641712</v>
      </c>
      <c r="CR147" s="93">
        <f t="shared" si="140"/>
        <v>1216.535433070866</v>
      </c>
      <c r="CS147" s="93">
        <f t="shared" si="141"/>
        <v>2137.809187279152</v>
      </c>
      <c r="CT147" s="93">
        <f t="shared" si="142"/>
        <v>3498.489425981873</v>
      </c>
      <c r="CU147" s="93">
        <f t="shared" si="143"/>
        <v>4549.0196078431372</v>
      </c>
      <c r="CV147" s="93">
        <f t="shared" si="144"/>
        <v>5347.0588235294117</v>
      </c>
      <c r="CW147" s="93">
        <f t="shared" si="145"/>
        <v>7204.7244094488196</v>
      </c>
    </row>
    <row r="148" spans="1:101" s="98" customFormat="1">
      <c r="A148" s="3" t="s">
        <v>376</v>
      </c>
      <c r="B148" s="92" t="s">
        <v>244</v>
      </c>
      <c r="C148" s="3" t="s">
        <v>285</v>
      </c>
      <c r="D148" s="93">
        <v>11.042999999999999</v>
      </c>
      <c r="E148" s="94">
        <v>0.18479999999999999</v>
      </c>
      <c r="F148" s="94">
        <v>1.5E-3</v>
      </c>
      <c r="G148" s="95">
        <v>13.06</v>
      </c>
      <c r="H148" s="96">
        <v>0.39</v>
      </c>
      <c r="I148" s="97">
        <v>0.51529999999999998</v>
      </c>
      <c r="J148" s="95">
        <v>1.4E-2</v>
      </c>
      <c r="K148" s="96">
        <v>0.40627999999999997</v>
      </c>
      <c r="M148" s="99">
        <v>2679.2</v>
      </c>
      <c r="N148" s="98">
        <v>59</v>
      </c>
      <c r="O148" s="99">
        <v>2696.3</v>
      </c>
      <c r="P148" s="98">
        <v>7.9</v>
      </c>
      <c r="Q148" s="93">
        <v>0.62</v>
      </c>
      <c r="R148" s="97">
        <v>2.8E-3</v>
      </c>
      <c r="T148" s="98">
        <v>300</v>
      </c>
      <c r="U148" s="98">
        <v>200</v>
      </c>
      <c r="V148" s="98">
        <v>1.3</v>
      </c>
      <c r="W148" s="98">
        <v>2.2000000000000002</v>
      </c>
      <c r="X148" s="98">
        <v>0.27</v>
      </c>
      <c r="Y148" s="98">
        <v>0.23</v>
      </c>
      <c r="Z148" s="98">
        <v>4.7</v>
      </c>
      <c r="AA148" s="98">
        <v>1.3</v>
      </c>
      <c r="AB148" s="98">
        <v>1.73</v>
      </c>
      <c r="AC148" s="98">
        <v>0.69</v>
      </c>
      <c r="AD148" s="98">
        <v>2400</v>
      </c>
      <c r="AE148" s="98">
        <v>320</v>
      </c>
      <c r="AF148" s="95" t="s">
        <v>250</v>
      </c>
      <c r="AG148" s="97" t="s">
        <v>250</v>
      </c>
      <c r="AH148" s="96">
        <v>6.2</v>
      </c>
      <c r="AI148" s="96">
        <v>1.7</v>
      </c>
      <c r="AJ148" s="95">
        <v>0.108</v>
      </c>
      <c r="AK148" s="95">
        <v>4.3999999999999997E-2</v>
      </c>
      <c r="AL148" s="96">
        <v>2.2000000000000002</v>
      </c>
      <c r="AM148" s="96">
        <v>1.1000000000000001</v>
      </c>
      <c r="AN148" s="96">
        <v>6.6</v>
      </c>
      <c r="AO148" s="96">
        <v>2.1</v>
      </c>
      <c r="AP148" s="96">
        <v>1.25</v>
      </c>
      <c r="AQ148" s="96">
        <v>0.39</v>
      </c>
      <c r="AR148" s="96">
        <v>42.3</v>
      </c>
      <c r="AS148" s="93">
        <v>6.3</v>
      </c>
      <c r="AT148" s="96">
        <v>16.600000000000001</v>
      </c>
      <c r="AU148" s="96">
        <v>3.2</v>
      </c>
      <c r="AV148" s="99">
        <v>211</v>
      </c>
      <c r="AW148" s="98">
        <v>26</v>
      </c>
      <c r="AX148" s="98">
        <v>82.6</v>
      </c>
      <c r="AY148" s="98">
        <v>9.9</v>
      </c>
      <c r="AZ148" s="98">
        <v>405</v>
      </c>
      <c r="BA148" s="98">
        <v>54</v>
      </c>
      <c r="BB148" s="98">
        <v>82</v>
      </c>
      <c r="BC148" s="98">
        <v>11</v>
      </c>
      <c r="BD148" s="98">
        <v>716</v>
      </c>
      <c r="BE148" s="98">
        <v>76</v>
      </c>
      <c r="BF148" s="98">
        <v>147</v>
      </c>
      <c r="BG148" s="98">
        <v>21</v>
      </c>
      <c r="BI148" s="93">
        <v>7.8</v>
      </c>
      <c r="BJ148" s="98">
        <v>4</v>
      </c>
      <c r="BK148" s="98">
        <v>624000</v>
      </c>
      <c r="BL148" s="98">
        <v>91000</v>
      </c>
      <c r="BM148" s="98">
        <v>10900</v>
      </c>
      <c r="BN148" s="98">
        <v>1500</v>
      </c>
      <c r="BO148" s="99">
        <v>31.1</v>
      </c>
      <c r="BP148" s="98">
        <v>3.9</v>
      </c>
      <c r="BQ148" s="99">
        <v>55.7</v>
      </c>
      <c r="BR148" s="98">
        <v>6.9</v>
      </c>
      <c r="BT148" s="95">
        <f t="shared" si="146"/>
        <v>7.7793296089385483E-2</v>
      </c>
      <c r="BU148" s="96">
        <f t="shared" si="147"/>
        <v>2.8181818181818179</v>
      </c>
      <c r="BV148" s="96">
        <f t="shared" si="148"/>
        <v>57.247706422018346</v>
      </c>
      <c r="BW148" s="96">
        <f t="shared" si="149"/>
        <v>0.55834829443447043</v>
      </c>
      <c r="BX148" s="99"/>
      <c r="BY148" s="96">
        <f t="shared" si="150"/>
        <v>2.8181818181818179</v>
      </c>
      <c r="BZ148" s="97">
        <f t="shared" si="151"/>
        <v>1.1742424242424242E-3</v>
      </c>
      <c r="CA148" s="95">
        <f t="shared" si="152"/>
        <v>0.22871334019550618</v>
      </c>
      <c r="CB148" s="99">
        <f t="shared" si="124"/>
        <v>91.15514532929285</v>
      </c>
      <c r="CC148" s="99">
        <f t="shared" si="124"/>
        <v>11.292109565029095</v>
      </c>
      <c r="CD148" s="100">
        <f t="shared" si="153"/>
        <v>749.43928257554785</v>
      </c>
      <c r="CE148" s="100">
        <f t="shared" si="156"/>
        <v>789.29629903952298</v>
      </c>
      <c r="CF148" s="100">
        <f t="shared" si="154"/>
        <v>54.259072781159254</v>
      </c>
      <c r="CG148" s="96">
        <f t="shared" si="155"/>
        <v>-0.24784936093509113</v>
      </c>
      <c r="CH148" s="96">
        <f t="shared" si="129"/>
        <v>0.76837224229345791</v>
      </c>
      <c r="CJ148" s="95"/>
      <c r="CK148" s="93">
        <f t="shared" si="133"/>
        <v>10.130718954248367</v>
      </c>
      <c r="CL148" s="93">
        <f t="shared" si="134"/>
        <v>1.1368421052631579</v>
      </c>
      <c r="CM148" s="93">
        <f t="shared" si="135"/>
        <v>4.7109207708779444</v>
      </c>
      <c r="CN148" s="93">
        <f t="shared" si="136"/>
        <v>43.13725490196078</v>
      </c>
      <c r="CO148" s="93">
        <f t="shared" si="137"/>
        <v>21.551724137931032</v>
      </c>
      <c r="CP148" s="93">
        <f t="shared" si="138"/>
        <v>205.83941605839416</v>
      </c>
      <c r="CQ148" s="93">
        <f t="shared" si="139"/>
        <v>443.85026737967917</v>
      </c>
      <c r="CR148" s="93">
        <f t="shared" si="140"/>
        <v>830.70866141732279</v>
      </c>
      <c r="CS148" s="93">
        <f t="shared" si="141"/>
        <v>1459.3639575971731</v>
      </c>
      <c r="CT148" s="93">
        <f t="shared" si="142"/>
        <v>2447.1299093655589</v>
      </c>
      <c r="CU148" s="93">
        <f t="shared" si="143"/>
        <v>3215.6862745098042</v>
      </c>
      <c r="CV148" s="93">
        <f t="shared" si="144"/>
        <v>4211.7647058823522</v>
      </c>
      <c r="CW148" s="93">
        <f t="shared" si="145"/>
        <v>5787.4015748031497</v>
      </c>
    </row>
    <row r="149" spans="1:101" s="98" customFormat="1">
      <c r="A149" s="3" t="s">
        <v>377</v>
      </c>
      <c r="B149" s="92" t="s">
        <v>244</v>
      </c>
      <c r="C149" s="3"/>
      <c r="D149" s="93">
        <v>11.009</v>
      </c>
      <c r="E149" s="94">
        <v>0.18229999999999999</v>
      </c>
      <c r="F149" s="94">
        <v>2.5000000000000001E-3</v>
      </c>
      <c r="G149" s="95">
        <v>13.13</v>
      </c>
      <c r="H149" s="96">
        <v>0.43</v>
      </c>
      <c r="I149" s="97">
        <v>0.52300000000000002</v>
      </c>
      <c r="J149" s="95">
        <v>1.4999999999999999E-2</v>
      </c>
      <c r="K149" s="96">
        <v>0.34732000000000002</v>
      </c>
      <c r="M149" s="99">
        <v>2712</v>
      </c>
      <c r="N149" s="98">
        <v>62</v>
      </c>
      <c r="O149" s="99">
        <v>2680</v>
      </c>
      <c r="P149" s="98">
        <v>17</v>
      </c>
      <c r="Q149" s="93">
        <v>-1.48</v>
      </c>
      <c r="R149" s="97">
        <v>1.6999999999999999E-3</v>
      </c>
      <c r="T149" s="98">
        <v>230</v>
      </c>
      <c r="U149" s="98">
        <v>110</v>
      </c>
      <c r="V149" s="98">
        <v>0.3</v>
      </c>
      <c r="W149" s="98">
        <v>1.4</v>
      </c>
      <c r="X149" s="98" t="s">
        <v>250</v>
      </c>
      <c r="Y149" s="98" t="s">
        <v>250</v>
      </c>
      <c r="Z149" s="98">
        <v>2.96</v>
      </c>
      <c r="AA149" s="98">
        <v>0.89</v>
      </c>
      <c r="AB149" s="98">
        <v>1.36</v>
      </c>
      <c r="AC149" s="98">
        <v>0.42</v>
      </c>
      <c r="AD149" s="98">
        <v>840</v>
      </c>
      <c r="AE149" s="98">
        <v>100</v>
      </c>
      <c r="AF149" s="95">
        <v>1E-3</v>
      </c>
      <c r="AG149" s="97">
        <v>4.4000000000000003E-3</v>
      </c>
      <c r="AH149" s="96">
        <v>2.82</v>
      </c>
      <c r="AI149" s="96">
        <v>0.68</v>
      </c>
      <c r="AJ149" s="95">
        <v>4.0000000000000001E-3</v>
      </c>
      <c r="AK149" s="95">
        <v>1.0999999999999999E-2</v>
      </c>
      <c r="AL149" s="96">
        <v>0.18</v>
      </c>
      <c r="AM149" s="96">
        <v>0.25</v>
      </c>
      <c r="AN149" s="96">
        <v>1.48</v>
      </c>
      <c r="AO149" s="96">
        <v>0.84</v>
      </c>
      <c r="AP149" s="96">
        <v>0.17</v>
      </c>
      <c r="AQ149" s="96">
        <v>0.13</v>
      </c>
      <c r="AR149" s="96">
        <v>10.3</v>
      </c>
      <c r="AS149" s="93">
        <v>2.8</v>
      </c>
      <c r="AT149" s="96">
        <v>4.63</v>
      </c>
      <c r="AU149" s="96">
        <v>0.74</v>
      </c>
      <c r="AV149" s="99">
        <v>69.599999999999994</v>
      </c>
      <c r="AW149" s="98">
        <v>7.6</v>
      </c>
      <c r="AX149" s="98">
        <v>27.1</v>
      </c>
      <c r="AY149" s="98">
        <v>2.7</v>
      </c>
      <c r="AZ149" s="98">
        <v>150</v>
      </c>
      <c r="BA149" s="98">
        <v>16</v>
      </c>
      <c r="BB149" s="98">
        <v>28.7</v>
      </c>
      <c r="BC149" s="98">
        <v>3.1</v>
      </c>
      <c r="BD149" s="98">
        <v>260</v>
      </c>
      <c r="BE149" s="98">
        <v>23</v>
      </c>
      <c r="BF149" s="98">
        <v>55.5</v>
      </c>
      <c r="BG149" s="98">
        <v>5.5</v>
      </c>
      <c r="BI149" s="93">
        <v>4.8</v>
      </c>
      <c r="BJ149" s="98">
        <v>3.2</v>
      </c>
      <c r="BK149" s="98">
        <v>546000</v>
      </c>
      <c r="BL149" s="98">
        <v>74000</v>
      </c>
      <c r="BM149" s="98">
        <v>10100</v>
      </c>
      <c r="BN149" s="98">
        <v>1100</v>
      </c>
      <c r="BO149" s="99">
        <v>9.35</v>
      </c>
      <c r="BP149" s="98">
        <v>0.84</v>
      </c>
      <c r="BQ149" s="99">
        <v>25.1</v>
      </c>
      <c r="BR149" s="98">
        <v>2.1</v>
      </c>
      <c r="BT149" s="95">
        <f t="shared" si="146"/>
        <v>9.6538461538461545E-2</v>
      </c>
      <c r="BU149" s="96">
        <f t="shared" si="147"/>
        <v>15.666666666666666</v>
      </c>
      <c r="BV149" s="96">
        <f t="shared" si="148"/>
        <v>54.059405940594061</v>
      </c>
      <c r="BW149" s="96">
        <f t="shared" si="149"/>
        <v>0.3725099601593625</v>
      </c>
      <c r="BX149" s="99">
        <f>CK149/SQRT(CJ149*CL149)</f>
        <v>345.7034121795997</v>
      </c>
      <c r="BY149" s="96">
        <f t="shared" si="150"/>
        <v>15.666666666666666</v>
      </c>
      <c r="BZ149" s="97">
        <f t="shared" si="151"/>
        <v>1.865079365079365E-2</v>
      </c>
      <c r="CA149" s="95">
        <f t="shared" si="152"/>
        <v>0.13311380148999025</v>
      </c>
      <c r="CB149" s="99">
        <f t="shared" si="124"/>
        <v>41.077094214815986</v>
      </c>
      <c r="CC149" s="99">
        <f t="shared" si="124"/>
        <v>3.4367289980523337</v>
      </c>
      <c r="CD149" s="100">
        <f t="shared" si="153"/>
        <v>705.47917997803654</v>
      </c>
      <c r="CE149" s="100">
        <f t="shared" si="156"/>
        <v>741.92196469747637</v>
      </c>
      <c r="CF149" s="100">
        <f t="shared" si="154"/>
        <v>64.184599552084592</v>
      </c>
      <c r="CG149" s="96">
        <f t="shared" si="155"/>
        <v>-0.50171375601874368</v>
      </c>
      <c r="CH149" s="96">
        <f t="shared" si="129"/>
        <v>0.81417525076218678</v>
      </c>
      <c r="CJ149" s="95">
        <f>AF149/CJ$4</f>
        <v>4.2194092827004225E-3</v>
      </c>
      <c r="CK149" s="93">
        <f t="shared" si="133"/>
        <v>4.6078431372549016</v>
      </c>
      <c r="CL149" s="93">
        <f t="shared" si="134"/>
        <v>4.2105263157894736E-2</v>
      </c>
      <c r="CM149" s="93">
        <f t="shared" si="135"/>
        <v>0.38543897216274087</v>
      </c>
      <c r="CN149" s="93">
        <f t="shared" si="136"/>
        <v>9.6732026143790844</v>
      </c>
      <c r="CO149" s="93">
        <f t="shared" si="137"/>
        <v>2.9310344827586206</v>
      </c>
      <c r="CP149" s="93">
        <f t="shared" si="138"/>
        <v>50.121654501216554</v>
      </c>
      <c r="CQ149" s="93">
        <f t="shared" si="139"/>
        <v>123.79679144385025</v>
      </c>
      <c r="CR149" s="93">
        <f t="shared" si="140"/>
        <v>274.01574803149606</v>
      </c>
      <c r="CS149" s="93">
        <f t="shared" si="141"/>
        <v>478.79858657243818</v>
      </c>
      <c r="CT149" s="93">
        <f t="shared" si="142"/>
        <v>906.34441087613288</v>
      </c>
      <c r="CU149" s="93">
        <f t="shared" si="143"/>
        <v>1125.4901960784314</v>
      </c>
      <c r="CV149" s="93">
        <f t="shared" si="144"/>
        <v>1529.4117647058822</v>
      </c>
      <c r="CW149" s="93">
        <f t="shared" si="145"/>
        <v>2185.0393700787404</v>
      </c>
    </row>
    <row r="150" spans="1:101" s="98" customFormat="1">
      <c r="A150" s="3" t="s">
        <v>378</v>
      </c>
      <c r="B150" s="92" t="s">
        <v>244</v>
      </c>
      <c r="C150" s="3"/>
      <c r="D150" s="93">
        <v>11.032</v>
      </c>
      <c r="E150" s="94">
        <v>0.1842</v>
      </c>
      <c r="F150" s="94">
        <v>1.1999999999999999E-3</v>
      </c>
      <c r="G150" s="95">
        <v>13.179</v>
      </c>
      <c r="H150" s="96">
        <v>0.39</v>
      </c>
      <c r="I150" s="97">
        <v>0.52170000000000005</v>
      </c>
      <c r="J150" s="95">
        <v>1.4E-2</v>
      </c>
      <c r="K150" s="96">
        <v>0.53910999999999998</v>
      </c>
      <c r="M150" s="99">
        <v>2706</v>
      </c>
      <c r="N150" s="98">
        <v>60</v>
      </c>
      <c r="O150" s="99">
        <v>2691.2</v>
      </c>
      <c r="P150" s="98">
        <v>5.8</v>
      </c>
      <c r="Q150" s="93">
        <v>-0.56000000000000005</v>
      </c>
      <c r="R150" s="97">
        <v>1.0200000000000001E-3</v>
      </c>
      <c r="T150" s="98">
        <v>320</v>
      </c>
      <c r="U150" s="98">
        <v>140</v>
      </c>
      <c r="V150" s="98" t="s">
        <v>250</v>
      </c>
      <c r="W150" s="98" t="s">
        <v>250</v>
      </c>
      <c r="X150" s="98">
        <v>0.49</v>
      </c>
      <c r="Y150" s="98">
        <v>0.3</v>
      </c>
      <c r="Z150" s="98">
        <v>3.44</v>
      </c>
      <c r="AA150" s="98">
        <v>0.97</v>
      </c>
      <c r="AB150" s="98">
        <v>1.63</v>
      </c>
      <c r="AC150" s="98">
        <v>0.5</v>
      </c>
      <c r="AD150" s="98">
        <v>2590</v>
      </c>
      <c r="AE150" s="98">
        <v>240</v>
      </c>
      <c r="AF150" s="95">
        <v>0.155</v>
      </c>
      <c r="AG150" s="97">
        <v>0.05</v>
      </c>
      <c r="AH150" s="96">
        <v>3.8</v>
      </c>
      <c r="AI150" s="96">
        <v>0.97</v>
      </c>
      <c r="AJ150" s="95">
        <v>0.216</v>
      </c>
      <c r="AK150" s="95">
        <v>5.5E-2</v>
      </c>
      <c r="AL150" s="96">
        <v>3.2</v>
      </c>
      <c r="AM150" s="96">
        <v>1</v>
      </c>
      <c r="AN150" s="96">
        <v>9.1999999999999993</v>
      </c>
      <c r="AO150" s="96">
        <v>2</v>
      </c>
      <c r="AP150" s="96">
        <v>1.24</v>
      </c>
      <c r="AQ150" s="96">
        <v>0.28999999999999998</v>
      </c>
      <c r="AR150" s="96">
        <v>48.6</v>
      </c>
      <c r="AS150" s="93">
        <v>6.5</v>
      </c>
      <c r="AT150" s="96">
        <v>17.3</v>
      </c>
      <c r="AU150" s="96">
        <v>2.1</v>
      </c>
      <c r="AV150" s="99">
        <v>235</v>
      </c>
      <c r="AW150" s="98">
        <v>18</v>
      </c>
      <c r="AX150" s="98">
        <v>90.8</v>
      </c>
      <c r="AY150" s="98">
        <v>8.6999999999999993</v>
      </c>
      <c r="AZ150" s="98">
        <v>457</v>
      </c>
      <c r="BA150" s="98">
        <v>36</v>
      </c>
      <c r="BB150" s="98">
        <v>89</v>
      </c>
      <c r="BC150" s="98">
        <v>10</v>
      </c>
      <c r="BD150" s="98">
        <v>779</v>
      </c>
      <c r="BE150" s="98">
        <v>87</v>
      </c>
      <c r="BF150" s="98">
        <v>150</v>
      </c>
      <c r="BG150" s="98">
        <v>17</v>
      </c>
      <c r="BI150" s="93">
        <v>1.8</v>
      </c>
      <c r="BJ150" s="98">
        <v>2.1</v>
      </c>
      <c r="BK150" s="98">
        <v>500000</v>
      </c>
      <c r="BL150" s="98">
        <v>49000</v>
      </c>
      <c r="BM150" s="98">
        <v>8870</v>
      </c>
      <c r="BN150" s="98">
        <v>960</v>
      </c>
      <c r="BO150" s="99">
        <v>35.1</v>
      </c>
      <c r="BP150" s="98">
        <v>2.9</v>
      </c>
      <c r="BQ150" s="99">
        <v>62.1</v>
      </c>
      <c r="BR150" s="98">
        <v>5.2</v>
      </c>
      <c r="BT150" s="95">
        <f t="shared" si="146"/>
        <v>7.9717586649550712E-2</v>
      </c>
      <c r="BU150" s="96">
        <f t="shared" si="147"/>
        <v>1.1874999999999998</v>
      </c>
      <c r="BV150" s="96">
        <f t="shared" si="148"/>
        <v>56.369785794813978</v>
      </c>
      <c r="BW150" s="96">
        <f t="shared" si="149"/>
        <v>0.56521739130434778</v>
      </c>
      <c r="BX150" s="99">
        <f>CK150/SQRT(CJ150*CL150)</f>
        <v>5.0918479377008952</v>
      </c>
      <c r="BY150" s="96">
        <f t="shared" si="150"/>
        <v>1.1874999999999998</v>
      </c>
      <c r="BZ150" s="97">
        <f t="shared" si="151"/>
        <v>4.5849420849420843E-4</v>
      </c>
      <c r="CA150" s="95">
        <f t="shared" si="152"/>
        <v>0.17928058960692797</v>
      </c>
      <c r="CB150" s="99">
        <f t="shared" si="124"/>
        <v>101.62898608526186</v>
      </c>
      <c r="CC150" s="99">
        <f t="shared" si="124"/>
        <v>8.5099956142248256</v>
      </c>
      <c r="CD150" s="100">
        <f t="shared" si="153"/>
        <v>627.27960200531015</v>
      </c>
      <c r="CE150" s="100">
        <f t="shared" si="156"/>
        <v>658.03946372982898</v>
      </c>
      <c r="CF150" s="100">
        <f t="shared" si="154"/>
        <v>94.578283051982353</v>
      </c>
      <c r="CG150" s="96">
        <f t="shared" si="155"/>
        <v>8.0067805173672735E-2</v>
      </c>
      <c r="CH150" s="96">
        <f t="shared" si="129"/>
        <v>1.2736105260070647</v>
      </c>
      <c r="CJ150" s="95">
        <f>AF150/CJ$4</f>
        <v>0.65400843881856541</v>
      </c>
      <c r="CK150" s="93">
        <f t="shared" si="133"/>
        <v>6.2091503267973858</v>
      </c>
      <c r="CL150" s="93">
        <f t="shared" si="134"/>
        <v>2.2736842105263158</v>
      </c>
      <c r="CM150" s="93">
        <f t="shared" si="135"/>
        <v>6.8522483940042829</v>
      </c>
      <c r="CN150" s="93">
        <f t="shared" si="136"/>
        <v>60.130718954248366</v>
      </c>
      <c r="CO150" s="93">
        <f t="shared" si="137"/>
        <v>21.379310344827584</v>
      </c>
      <c r="CP150" s="93">
        <f t="shared" si="138"/>
        <v>236.49635036496352</v>
      </c>
      <c r="CQ150" s="93">
        <f t="shared" si="139"/>
        <v>462.56684491978609</v>
      </c>
      <c r="CR150" s="93">
        <f t="shared" si="140"/>
        <v>925.19685039370074</v>
      </c>
      <c r="CS150" s="93">
        <f t="shared" si="141"/>
        <v>1604.2402826855123</v>
      </c>
      <c r="CT150" s="93">
        <f t="shared" si="142"/>
        <v>2761.3293051359515</v>
      </c>
      <c r="CU150" s="93">
        <f t="shared" si="143"/>
        <v>3490.1960784313728</v>
      </c>
      <c r="CV150" s="93">
        <f t="shared" si="144"/>
        <v>4582.3529411764703</v>
      </c>
      <c r="CW150" s="93">
        <f t="shared" si="145"/>
        <v>5905.5118110236226</v>
      </c>
    </row>
    <row r="151" spans="1:101" s="98" customFormat="1">
      <c r="A151" s="3" t="s">
        <v>379</v>
      </c>
      <c r="B151" s="92" t="s">
        <v>244</v>
      </c>
      <c r="C151" s="3"/>
      <c r="D151" s="93">
        <v>11.082000000000001</v>
      </c>
      <c r="E151" s="94">
        <v>0.1847</v>
      </c>
      <c r="F151" s="94">
        <v>2.2000000000000001E-3</v>
      </c>
      <c r="G151" s="95">
        <v>13.09</v>
      </c>
      <c r="H151" s="96">
        <v>0.41</v>
      </c>
      <c r="I151" s="97">
        <v>0.51680000000000004</v>
      </c>
      <c r="J151" s="95">
        <v>1.4E-2</v>
      </c>
      <c r="K151" s="96">
        <v>0.40293000000000001</v>
      </c>
      <c r="M151" s="99">
        <v>2685</v>
      </c>
      <c r="N151" s="98">
        <v>60</v>
      </c>
      <c r="O151" s="99">
        <v>2696</v>
      </c>
      <c r="P151" s="98">
        <v>14</v>
      </c>
      <c r="Q151" s="93">
        <v>0.38</v>
      </c>
      <c r="R151" s="97">
        <v>3.8E-3</v>
      </c>
      <c r="T151" s="98">
        <v>310</v>
      </c>
      <c r="U151" s="98">
        <v>180</v>
      </c>
      <c r="V151" s="98">
        <v>1.1000000000000001</v>
      </c>
      <c r="W151" s="98">
        <v>1.6</v>
      </c>
      <c r="X151" s="98">
        <v>3.6999999999999998E-2</v>
      </c>
      <c r="Y151" s="98">
        <v>7.9000000000000001E-2</v>
      </c>
      <c r="Z151" s="98">
        <v>2.99</v>
      </c>
      <c r="AA151" s="98">
        <v>0.6</v>
      </c>
      <c r="AB151" s="98">
        <v>1.61</v>
      </c>
      <c r="AC151" s="98">
        <v>0.71</v>
      </c>
      <c r="AD151" s="98">
        <v>1060</v>
      </c>
      <c r="AE151" s="98">
        <v>110</v>
      </c>
      <c r="AF151" s="95" t="s">
        <v>250</v>
      </c>
      <c r="AG151" s="97" t="s">
        <v>250</v>
      </c>
      <c r="AH151" s="96">
        <v>2.4300000000000002</v>
      </c>
      <c r="AI151" s="96">
        <v>0.66</v>
      </c>
      <c r="AJ151" s="95">
        <v>1.2999999999999999E-2</v>
      </c>
      <c r="AK151" s="95">
        <v>1.4999999999999999E-2</v>
      </c>
      <c r="AL151" s="96">
        <v>0.8</v>
      </c>
      <c r="AM151" s="96">
        <v>0.59</v>
      </c>
      <c r="AN151" s="96">
        <v>2.2999999999999998</v>
      </c>
      <c r="AO151" s="96">
        <v>1</v>
      </c>
      <c r="AP151" s="96">
        <v>0.48</v>
      </c>
      <c r="AQ151" s="96">
        <v>0.21</v>
      </c>
      <c r="AR151" s="96">
        <v>16.100000000000001</v>
      </c>
      <c r="AS151" s="93">
        <v>4.2</v>
      </c>
      <c r="AT151" s="96">
        <v>6.08</v>
      </c>
      <c r="AU151" s="96">
        <v>0.99</v>
      </c>
      <c r="AV151" s="99">
        <v>92</v>
      </c>
      <c r="AW151" s="98">
        <v>13</v>
      </c>
      <c r="AX151" s="98">
        <v>35.200000000000003</v>
      </c>
      <c r="AY151" s="98">
        <v>3.9</v>
      </c>
      <c r="AZ151" s="98">
        <v>193</v>
      </c>
      <c r="BA151" s="98">
        <v>22</v>
      </c>
      <c r="BB151" s="98">
        <v>37.200000000000003</v>
      </c>
      <c r="BC151" s="98">
        <v>5.6</v>
      </c>
      <c r="BD151" s="98">
        <v>360</v>
      </c>
      <c r="BE151" s="98">
        <v>49</v>
      </c>
      <c r="BF151" s="98">
        <v>76</v>
      </c>
      <c r="BG151" s="98">
        <v>10</v>
      </c>
      <c r="BI151" s="93">
        <v>4.5999999999999996</v>
      </c>
      <c r="BJ151" s="98">
        <v>3.8</v>
      </c>
      <c r="BK151" s="98">
        <v>552000</v>
      </c>
      <c r="BL151" s="98">
        <v>50000</v>
      </c>
      <c r="BM151" s="98">
        <v>8800</v>
      </c>
      <c r="BN151" s="98">
        <v>1000</v>
      </c>
      <c r="BO151" s="99">
        <v>12.08</v>
      </c>
      <c r="BP151" s="98">
        <v>0.86</v>
      </c>
      <c r="BQ151" s="99">
        <v>29.6</v>
      </c>
      <c r="BR151" s="98">
        <v>2.1</v>
      </c>
      <c r="BT151" s="95">
        <f t="shared" si="146"/>
        <v>8.2222222222222224E-2</v>
      </c>
      <c r="BU151" s="96">
        <f t="shared" si="147"/>
        <v>3.0375000000000001</v>
      </c>
      <c r="BV151" s="96">
        <f t="shared" si="148"/>
        <v>62.727272727272727</v>
      </c>
      <c r="BW151" s="96">
        <f t="shared" si="149"/>
        <v>0.4081081081081081</v>
      </c>
      <c r="BX151" s="99"/>
      <c r="BY151" s="96">
        <f t="shared" si="150"/>
        <v>3.0375000000000001</v>
      </c>
      <c r="BZ151" s="97">
        <f t="shared" si="151"/>
        <v>2.8655660377358491E-3</v>
      </c>
      <c r="CA151" s="95">
        <f t="shared" si="152"/>
        <v>0.24115041647657118</v>
      </c>
      <c r="CB151" s="99">
        <f t="shared" si="124"/>
        <v>48.441513496356698</v>
      </c>
      <c r="CC151" s="99">
        <f t="shared" si="124"/>
        <v>3.4367289980523337</v>
      </c>
      <c r="CD151" s="100">
        <f t="shared" si="153"/>
        <v>701.80514273689687</v>
      </c>
      <c r="CE151" s="100">
        <f t="shared" si="156"/>
        <v>737.96975311523488</v>
      </c>
      <c r="CF151" s="100">
        <f t="shared" si="154"/>
        <v>78.553987959172019</v>
      </c>
      <c r="CG151" s="96">
        <f t="shared" si="155"/>
        <v>-0.86564216140408368</v>
      </c>
      <c r="CH151" s="96">
        <f t="shared" si="129"/>
        <v>0.97173252919172637</v>
      </c>
      <c r="CJ151" s="95"/>
      <c r="CK151" s="93">
        <f t="shared" si="133"/>
        <v>3.9705882352941182</v>
      </c>
      <c r="CL151" s="93">
        <f t="shared" si="134"/>
        <v>0.13684210526315788</v>
      </c>
      <c r="CM151" s="93">
        <f t="shared" si="135"/>
        <v>1.7130620985010707</v>
      </c>
      <c r="CN151" s="93">
        <f t="shared" si="136"/>
        <v>15.032679738562091</v>
      </c>
      <c r="CO151" s="93">
        <f t="shared" si="137"/>
        <v>8.275862068965516</v>
      </c>
      <c r="CP151" s="93">
        <f t="shared" si="138"/>
        <v>78.345498783455</v>
      </c>
      <c r="CQ151" s="93">
        <f t="shared" si="139"/>
        <v>162.56684491978609</v>
      </c>
      <c r="CR151" s="93">
        <f t="shared" si="140"/>
        <v>362.20472440944883</v>
      </c>
      <c r="CS151" s="93">
        <f t="shared" si="141"/>
        <v>621.90812720848066</v>
      </c>
      <c r="CT151" s="93">
        <f t="shared" si="142"/>
        <v>1166.1631419939577</v>
      </c>
      <c r="CU151" s="93">
        <f t="shared" si="143"/>
        <v>1458.8235294117649</v>
      </c>
      <c r="CV151" s="93">
        <f t="shared" si="144"/>
        <v>2117.6470588235293</v>
      </c>
      <c r="CW151" s="93">
        <f t="shared" si="145"/>
        <v>2992.1259842519685</v>
      </c>
    </row>
    <row r="152" spans="1:101" s="98" customFormat="1">
      <c r="A152" s="3" t="s">
        <v>380</v>
      </c>
      <c r="B152" s="92" t="s">
        <v>244</v>
      </c>
      <c r="C152" s="3" t="s">
        <v>287</v>
      </c>
      <c r="D152" s="93">
        <v>11.079000000000001</v>
      </c>
      <c r="E152" s="94">
        <v>0.1867</v>
      </c>
      <c r="F152" s="94">
        <v>5.7000000000000002E-3</v>
      </c>
      <c r="G152" s="95">
        <v>13.53</v>
      </c>
      <c r="H152" s="96">
        <v>0.56999999999999995</v>
      </c>
      <c r="I152" s="97">
        <v>0.52900000000000003</v>
      </c>
      <c r="J152" s="95">
        <v>1.6E-2</v>
      </c>
      <c r="K152" s="96">
        <v>0.29286000000000001</v>
      </c>
      <c r="M152" s="99">
        <v>2737</v>
      </c>
      <c r="N152" s="98">
        <v>67</v>
      </c>
      <c r="O152" s="99">
        <v>2704</v>
      </c>
      <c r="P152" s="98">
        <v>27</v>
      </c>
      <c r="Q152" s="93">
        <v>-1.3</v>
      </c>
      <c r="R152" s="97">
        <v>6.1000000000000004E-3</v>
      </c>
      <c r="T152" s="98">
        <v>250</v>
      </c>
      <c r="U152" s="98">
        <v>180</v>
      </c>
      <c r="V152" s="98">
        <v>0</v>
      </c>
      <c r="W152" s="98">
        <v>1.8</v>
      </c>
      <c r="X152" s="98">
        <v>0.13</v>
      </c>
      <c r="Y152" s="98">
        <v>0.15</v>
      </c>
      <c r="Z152" s="98">
        <v>2.42</v>
      </c>
      <c r="AA152" s="98">
        <v>0.78</v>
      </c>
      <c r="AB152" s="98">
        <v>0.49</v>
      </c>
      <c r="AC152" s="98">
        <v>0.26</v>
      </c>
      <c r="AD152" s="98">
        <v>750</v>
      </c>
      <c r="AE152" s="98">
        <v>100</v>
      </c>
      <c r="AF152" s="95" t="s">
        <v>250</v>
      </c>
      <c r="AG152" s="97" t="s">
        <v>250</v>
      </c>
      <c r="AH152" s="96">
        <v>1.66</v>
      </c>
      <c r="AI152" s="96">
        <v>0.32</v>
      </c>
      <c r="AJ152" s="95">
        <v>1.7000000000000001E-2</v>
      </c>
      <c r="AK152" s="95">
        <v>2.1000000000000001E-2</v>
      </c>
      <c r="AL152" s="96">
        <v>0.26</v>
      </c>
      <c r="AM152" s="96">
        <v>0.3</v>
      </c>
      <c r="AN152" s="96">
        <v>1.1399999999999999</v>
      </c>
      <c r="AO152" s="96">
        <v>0.57999999999999996</v>
      </c>
      <c r="AP152" s="96">
        <v>0.28999999999999998</v>
      </c>
      <c r="AQ152" s="96">
        <v>0.19</v>
      </c>
      <c r="AR152" s="96">
        <v>12.9</v>
      </c>
      <c r="AS152" s="93">
        <v>3.1</v>
      </c>
      <c r="AT152" s="96">
        <v>4.63</v>
      </c>
      <c r="AU152" s="96">
        <v>0.95</v>
      </c>
      <c r="AV152" s="99">
        <v>63.2</v>
      </c>
      <c r="AW152" s="98">
        <v>7.7</v>
      </c>
      <c r="AX152" s="98">
        <v>25.9</v>
      </c>
      <c r="AY152" s="98">
        <v>3</v>
      </c>
      <c r="AZ152" s="98">
        <v>131</v>
      </c>
      <c r="BA152" s="98">
        <v>15</v>
      </c>
      <c r="BB152" s="98">
        <v>27.5</v>
      </c>
      <c r="BC152" s="98">
        <v>4.2</v>
      </c>
      <c r="BD152" s="98">
        <v>248</v>
      </c>
      <c r="BE152" s="98">
        <v>38</v>
      </c>
      <c r="BF152" s="98">
        <v>48.6</v>
      </c>
      <c r="BG152" s="98">
        <v>6.9</v>
      </c>
      <c r="BI152" s="93">
        <v>7.2</v>
      </c>
      <c r="BJ152" s="98">
        <v>4.2</v>
      </c>
      <c r="BK152" s="98">
        <v>556000</v>
      </c>
      <c r="BL152" s="98">
        <v>75000</v>
      </c>
      <c r="BM152" s="98">
        <v>9400</v>
      </c>
      <c r="BN152" s="98">
        <v>1400</v>
      </c>
      <c r="BO152" s="99">
        <v>6.49</v>
      </c>
      <c r="BP152" s="98">
        <v>0.83</v>
      </c>
      <c r="BQ152" s="99">
        <v>16</v>
      </c>
      <c r="BR152" s="98">
        <v>1.9</v>
      </c>
      <c r="BT152" s="95">
        <f t="shared" si="146"/>
        <v>6.4516129032258063E-2</v>
      </c>
      <c r="BU152" s="96">
        <f t="shared" si="147"/>
        <v>6.3846153846153841</v>
      </c>
      <c r="BV152" s="96">
        <f t="shared" si="148"/>
        <v>59.148936170212764</v>
      </c>
      <c r="BW152" s="96">
        <f t="shared" si="149"/>
        <v>0.40562500000000001</v>
      </c>
      <c r="BX152" s="99"/>
      <c r="BY152" s="96">
        <f t="shared" si="150"/>
        <v>6.3846153846153841</v>
      </c>
      <c r="BZ152" s="97">
        <f t="shared" si="151"/>
        <v>8.5128205128205126E-3</v>
      </c>
      <c r="CA152" s="95">
        <f t="shared" si="152"/>
        <v>0.2311928251460689</v>
      </c>
      <c r="CB152" s="99">
        <f t="shared" si="124"/>
        <v>26.18460188992254</v>
      </c>
      <c r="CC152" s="99">
        <f t="shared" si="124"/>
        <v>3.1094214744283013</v>
      </c>
      <c r="CD152" s="100">
        <f t="shared" si="153"/>
        <v>741.92196469747637</v>
      </c>
      <c r="CE152" s="100">
        <f t="shared" si="156"/>
        <v>781.18388704146867</v>
      </c>
      <c r="CF152" s="100">
        <f t="shared" si="154"/>
        <v>60.53037539751967</v>
      </c>
      <c r="CG152" s="96">
        <f t="shared" si="155"/>
        <v>-1.3811487797931572</v>
      </c>
      <c r="CH152" s="96">
        <f t="shared" si="129"/>
        <v>0.69146038448388736</v>
      </c>
      <c r="CJ152" s="95"/>
      <c r="CK152" s="93">
        <f t="shared" si="133"/>
        <v>2.7124183006535949</v>
      </c>
      <c r="CL152" s="93">
        <f t="shared" si="134"/>
        <v>0.17894736842105263</v>
      </c>
      <c r="CM152" s="93">
        <f t="shared" si="135"/>
        <v>0.55674518201284795</v>
      </c>
      <c r="CN152" s="93">
        <f t="shared" si="136"/>
        <v>7.450980392156862</v>
      </c>
      <c r="CO152" s="93">
        <f t="shared" si="137"/>
        <v>4.9999999999999991</v>
      </c>
      <c r="CP152" s="93">
        <f t="shared" si="138"/>
        <v>62.773722627737229</v>
      </c>
      <c r="CQ152" s="93">
        <f t="shared" si="139"/>
        <v>123.79679144385025</v>
      </c>
      <c r="CR152" s="93">
        <f t="shared" si="140"/>
        <v>248.81889763779529</v>
      </c>
      <c r="CS152" s="93">
        <f t="shared" si="141"/>
        <v>457.59717314487631</v>
      </c>
      <c r="CT152" s="93">
        <f t="shared" si="142"/>
        <v>791.54078549848941</v>
      </c>
      <c r="CU152" s="93">
        <f t="shared" si="143"/>
        <v>1078.4313725490197</v>
      </c>
      <c r="CV152" s="93">
        <f t="shared" si="144"/>
        <v>1458.8235294117646</v>
      </c>
      <c r="CW152" s="93">
        <f t="shared" si="145"/>
        <v>1913.3858267716537</v>
      </c>
    </row>
    <row r="153" spans="1:101" s="98" customFormat="1">
      <c r="A153" s="3" t="s">
        <v>381</v>
      </c>
      <c r="B153" s="92" t="s">
        <v>244</v>
      </c>
      <c r="C153" s="3" t="s">
        <v>285</v>
      </c>
      <c r="D153" s="93">
        <v>11.003</v>
      </c>
      <c r="E153" s="94">
        <v>0.18509999999999999</v>
      </c>
      <c r="F153" s="94">
        <v>1.5E-3</v>
      </c>
      <c r="G153" s="95">
        <v>13.15</v>
      </c>
      <c r="H153" s="96">
        <v>0.4</v>
      </c>
      <c r="I153" s="97">
        <v>0.51800000000000002</v>
      </c>
      <c r="J153" s="95">
        <v>1.4E-2</v>
      </c>
      <c r="K153" s="96">
        <v>0.45956999999999998</v>
      </c>
      <c r="M153" s="99">
        <v>2690.7</v>
      </c>
      <c r="N153" s="98">
        <v>60</v>
      </c>
      <c r="O153" s="99">
        <v>2698.4</v>
      </c>
      <c r="P153" s="98">
        <v>8.5</v>
      </c>
      <c r="Q153" s="93">
        <v>0.28000000000000003</v>
      </c>
      <c r="R153" s="97">
        <v>1.9E-3</v>
      </c>
      <c r="T153" s="98">
        <v>230</v>
      </c>
      <c r="U153" s="98">
        <v>130</v>
      </c>
      <c r="V153" s="98">
        <v>0.5</v>
      </c>
      <c r="W153" s="98">
        <v>1.5</v>
      </c>
      <c r="X153" s="98">
        <v>0.49</v>
      </c>
      <c r="Y153" s="98">
        <v>0.32</v>
      </c>
      <c r="Z153" s="98">
        <v>4.9000000000000004</v>
      </c>
      <c r="AA153" s="98">
        <v>1.2</v>
      </c>
      <c r="AB153" s="98">
        <v>1.4</v>
      </c>
      <c r="AC153" s="98">
        <v>0.51</v>
      </c>
      <c r="AD153" s="98">
        <v>2880</v>
      </c>
      <c r="AE153" s="98">
        <v>290</v>
      </c>
      <c r="AF153" s="95">
        <v>8.8999999999999996E-2</v>
      </c>
      <c r="AG153" s="97">
        <v>3.6999999999999998E-2</v>
      </c>
      <c r="AH153" s="96">
        <v>5.3</v>
      </c>
      <c r="AI153" s="96">
        <v>1.1000000000000001</v>
      </c>
      <c r="AJ153" s="95">
        <v>0.18099999999999999</v>
      </c>
      <c r="AK153" s="95">
        <v>8.2000000000000003E-2</v>
      </c>
      <c r="AL153" s="96">
        <v>2.8</v>
      </c>
      <c r="AM153" s="96">
        <v>1.1000000000000001</v>
      </c>
      <c r="AN153" s="96">
        <v>8.1999999999999993</v>
      </c>
      <c r="AO153" s="96">
        <v>2.2000000000000002</v>
      </c>
      <c r="AP153" s="96">
        <v>1.93</v>
      </c>
      <c r="AQ153" s="96">
        <v>0.54</v>
      </c>
      <c r="AR153" s="96">
        <v>60.9</v>
      </c>
      <c r="AS153" s="93">
        <v>9.1</v>
      </c>
      <c r="AT153" s="96">
        <v>21.3</v>
      </c>
      <c r="AU153" s="96">
        <v>2.9</v>
      </c>
      <c r="AV153" s="99">
        <v>270</v>
      </c>
      <c r="AW153" s="98">
        <v>32</v>
      </c>
      <c r="AX153" s="98">
        <v>99</v>
      </c>
      <c r="AY153" s="98">
        <v>9.3000000000000007</v>
      </c>
      <c r="AZ153" s="98">
        <v>488</v>
      </c>
      <c r="BA153" s="98">
        <v>49</v>
      </c>
      <c r="BB153" s="98">
        <v>90</v>
      </c>
      <c r="BC153" s="98">
        <v>9.4</v>
      </c>
      <c r="BD153" s="98">
        <v>785</v>
      </c>
      <c r="BE153" s="98">
        <v>70</v>
      </c>
      <c r="BF153" s="98">
        <v>147</v>
      </c>
      <c r="BG153" s="98">
        <v>17</v>
      </c>
      <c r="BI153" s="93">
        <v>4.5</v>
      </c>
      <c r="BJ153" s="98">
        <v>2.6</v>
      </c>
      <c r="BK153" s="98">
        <v>522000</v>
      </c>
      <c r="BL153" s="98">
        <v>39000</v>
      </c>
      <c r="BM153" s="98">
        <v>9010</v>
      </c>
      <c r="BN153" s="98">
        <v>910</v>
      </c>
      <c r="BO153" s="99">
        <v>37.5</v>
      </c>
      <c r="BP153" s="98">
        <v>2.9</v>
      </c>
      <c r="BQ153" s="99">
        <v>59.9</v>
      </c>
      <c r="BR153" s="98">
        <v>4.8</v>
      </c>
      <c r="BT153" s="95">
        <f t="shared" si="146"/>
        <v>7.6305732484076433E-2</v>
      </c>
      <c r="BU153" s="96">
        <f t="shared" si="147"/>
        <v>1.892857142857143</v>
      </c>
      <c r="BV153" s="96">
        <f t="shared" si="148"/>
        <v>57.935627081021089</v>
      </c>
      <c r="BW153" s="96">
        <f t="shared" si="149"/>
        <v>0.62604340567612693</v>
      </c>
      <c r="BX153" s="99">
        <f>CK153/SQRT(CJ153*CL153)</f>
        <v>10.238259483978768</v>
      </c>
      <c r="BY153" s="96">
        <f t="shared" si="150"/>
        <v>1.892857142857143</v>
      </c>
      <c r="BZ153" s="97">
        <f t="shared" si="151"/>
        <v>6.5724206349206354E-4</v>
      </c>
      <c r="CA153" s="95">
        <f t="shared" si="152"/>
        <v>0.2640373537260336</v>
      </c>
      <c r="CB153" s="99">
        <f t="shared" ref="CB153:CC216" si="157">BQ153*(EXP(0.0001551*2740)+0.0072*EXP(2740*0.0009849))</f>
        <v>98.028603325397512</v>
      </c>
      <c r="CC153" s="99">
        <f t="shared" si="157"/>
        <v>7.8553805669767618</v>
      </c>
      <c r="CD153" s="100">
        <f t="shared" si="153"/>
        <v>699.91855402232056</v>
      </c>
      <c r="CE153" s="100">
        <f t="shared" si="156"/>
        <v>735.94075342292217</v>
      </c>
      <c r="CF153" s="100">
        <f t="shared" si="154"/>
        <v>55.283339744002042</v>
      </c>
      <c r="CG153" s="96">
        <f t="shared" si="155"/>
        <v>-0.1060471112353647</v>
      </c>
      <c r="CH153" s="96">
        <f t="shared" si="129"/>
        <v>0.70818927009846333</v>
      </c>
      <c r="CJ153" s="95">
        <f>AF153/CJ$4</f>
        <v>0.37552742616033757</v>
      </c>
      <c r="CK153" s="93">
        <f t="shared" si="133"/>
        <v>8.6601307189542478</v>
      </c>
      <c r="CL153" s="93">
        <f t="shared" si="134"/>
        <v>1.9052631578947368</v>
      </c>
      <c r="CM153" s="93">
        <f t="shared" si="135"/>
        <v>5.9957173447537464</v>
      </c>
      <c r="CN153" s="93">
        <f t="shared" si="136"/>
        <v>53.59477124183006</v>
      </c>
      <c r="CO153" s="93">
        <f t="shared" si="137"/>
        <v>33.275862068965516</v>
      </c>
      <c r="CP153" s="93">
        <f t="shared" si="138"/>
        <v>296.35036496350364</v>
      </c>
      <c r="CQ153" s="93">
        <f t="shared" si="139"/>
        <v>569.51871657754009</v>
      </c>
      <c r="CR153" s="93">
        <f t="shared" si="140"/>
        <v>1062.992125984252</v>
      </c>
      <c r="CS153" s="93">
        <f t="shared" si="141"/>
        <v>1749.1166077738517</v>
      </c>
      <c r="CT153" s="93">
        <f t="shared" si="142"/>
        <v>2948.6404833836855</v>
      </c>
      <c r="CU153" s="93">
        <f t="shared" si="143"/>
        <v>3529.4117647058824</v>
      </c>
      <c r="CV153" s="93">
        <f t="shared" si="144"/>
        <v>4617.6470588235288</v>
      </c>
      <c r="CW153" s="93">
        <f t="shared" si="145"/>
        <v>5787.4015748031497</v>
      </c>
    </row>
    <row r="154" spans="1:101" s="98" customFormat="1">
      <c r="A154" s="3" t="s">
        <v>382</v>
      </c>
      <c r="B154" s="92" t="s">
        <v>244</v>
      </c>
      <c r="C154" s="3" t="s">
        <v>285</v>
      </c>
      <c r="D154" s="93">
        <v>11.038</v>
      </c>
      <c r="E154" s="94">
        <v>0.18534</v>
      </c>
      <c r="F154" s="94">
        <v>7.2000000000000005E-4</v>
      </c>
      <c r="G154" s="95">
        <v>13.21</v>
      </c>
      <c r="H154" s="96">
        <v>0.39</v>
      </c>
      <c r="I154" s="97">
        <v>0.52039999999999997</v>
      </c>
      <c r="J154" s="95">
        <v>1.4E-2</v>
      </c>
      <c r="K154" s="96">
        <v>0.71675</v>
      </c>
      <c r="M154" s="99">
        <v>2700.8</v>
      </c>
      <c r="N154" s="98">
        <v>60</v>
      </c>
      <c r="O154" s="99">
        <v>2699.7</v>
      </c>
      <c r="P154" s="98">
        <v>3.1</v>
      </c>
      <c r="Q154" s="93">
        <v>-0.04</v>
      </c>
      <c r="R154" s="97">
        <v>6.8000000000000005E-4</v>
      </c>
      <c r="T154" s="98">
        <v>390</v>
      </c>
      <c r="U154" s="98">
        <v>180</v>
      </c>
      <c r="V154" s="98">
        <v>0.2</v>
      </c>
      <c r="W154" s="98">
        <v>1.2</v>
      </c>
      <c r="X154" s="98">
        <v>1</v>
      </c>
      <c r="Y154" s="98">
        <v>0.52</v>
      </c>
      <c r="Z154" s="98">
        <v>7.2</v>
      </c>
      <c r="AA154" s="98">
        <v>1.9</v>
      </c>
      <c r="AB154" s="98">
        <v>2.56</v>
      </c>
      <c r="AC154" s="98">
        <v>0.66</v>
      </c>
      <c r="AD154" s="98">
        <v>4020</v>
      </c>
      <c r="AE154" s="98">
        <v>350</v>
      </c>
      <c r="AF154" s="95" t="s">
        <v>250</v>
      </c>
      <c r="AG154" s="97" t="s">
        <v>250</v>
      </c>
      <c r="AH154" s="96">
        <v>10.6</v>
      </c>
      <c r="AI154" s="96">
        <v>1.8</v>
      </c>
      <c r="AJ154" s="95">
        <v>0.23100000000000001</v>
      </c>
      <c r="AK154" s="95">
        <v>8.5000000000000006E-2</v>
      </c>
      <c r="AL154" s="96">
        <v>4.0999999999999996</v>
      </c>
      <c r="AM154" s="96">
        <v>1.7</v>
      </c>
      <c r="AN154" s="96">
        <v>12.2</v>
      </c>
      <c r="AO154" s="96">
        <v>2.6</v>
      </c>
      <c r="AP154" s="96">
        <v>1.83</v>
      </c>
      <c r="AQ154" s="96">
        <v>0.44</v>
      </c>
      <c r="AR154" s="96">
        <v>77</v>
      </c>
      <c r="AS154" s="93">
        <v>13</v>
      </c>
      <c r="AT154" s="96">
        <v>26.1</v>
      </c>
      <c r="AU154" s="96">
        <v>3.5</v>
      </c>
      <c r="AV154" s="99">
        <v>383</v>
      </c>
      <c r="AW154" s="98">
        <v>49</v>
      </c>
      <c r="AX154" s="98">
        <v>143</v>
      </c>
      <c r="AY154" s="98">
        <v>17</v>
      </c>
      <c r="AZ154" s="98">
        <v>678</v>
      </c>
      <c r="BA154" s="98">
        <v>66</v>
      </c>
      <c r="BB154" s="98">
        <v>135</v>
      </c>
      <c r="BC154" s="98">
        <v>15</v>
      </c>
      <c r="BD154" s="98">
        <v>1050</v>
      </c>
      <c r="BE154" s="98">
        <v>120</v>
      </c>
      <c r="BF154" s="98">
        <v>210</v>
      </c>
      <c r="BG154" s="98">
        <v>27</v>
      </c>
      <c r="BI154" s="93">
        <v>4</v>
      </c>
      <c r="BJ154" s="98">
        <v>2.6</v>
      </c>
      <c r="BK154" s="98">
        <v>544000</v>
      </c>
      <c r="BL154" s="98">
        <v>46000</v>
      </c>
      <c r="BM154" s="98">
        <v>9800</v>
      </c>
      <c r="BN154" s="98">
        <v>1100</v>
      </c>
      <c r="BO154" s="99">
        <v>69.099999999999994</v>
      </c>
      <c r="BP154" s="98">
        <v>5.8</v>
      </c>
      <c r="BQ154" s="99">
        <v>107</v>
      </c>
      <c r="BR154" s="98">
        <v>9.1</v>
      </c>
      <c r="BT154" s="95">
        <f t="shared" si="146"/>
        <v>0.1019047619047619</v>
      </c>
      <c r="BU154" s="96">
        <f t="shared" si="147"/>
        <v>2.5853658536585367</v>
      </c>
      <c r="BV154" s="96">
        <f t="shared" si="148"/>
        <v>55.510204081632651</v>
      </c>
      <c r="BW154" s="96">
        <f t="shared" si="149"/>
        <v>0.64579439252336446</v>
      </c>
      <c r="BX154" s="99"/>
      <c r="BY154" s="96">
        <f t="shared" si="150"/>
        <v>2.5853658536585367</v>
      </c>
      <c r="BZ154" s="97">
        <f t="shared" si="151"/>
        <v>6.4312583424341711E-4</v>
      </c>
      <c r="CA154" s="95">
        <f t="shared" si="152"/>
        <v>0.18253638557369953</v>
      </c>
      <c r="CB154" s="99">
        <f t="shared" si="157"/>
        <v>175.10952513885698</v>
      </c>
      <c r="CC154" s="99">
        <f t="shared" si="157"/>
        <v>14.892492324893444</v>
      </c>
      <c r="CD154" s="100">
        <f t="shared" si="153"/>
        <v>689.93161615144459</v>
      </c>
      <c r="CE154" s="100">
        <f t="shared" si="156"/>
        <v>725.20479179380322</v>
      </c>
      <c r="CF154" s="100">
        <f t="shared" si="154"/>
        <v>60.718928575556866</v>
      </c>
      <c r="CG154" s="96">
        <f t="shared" si="155"/>
        <v>0.69445772793112859</v>
      </c>
      <c r="CH154" s="96">
        <f t="shared" si="129"/>
        <v>0.74800278978357782</v>
      </c>
      <c r="CJ154" s="95"/>
      <c r="CK154" s="93">
        <f t="shared" si="133"/>
        <v>17.320261437908496</v>
      </c>
      <c r="CL154" s="93">
        <f t="shared" si="134"/>
        <v>2.4315789473684211</v>
      </c>
      <c r="CM154" s="93">
        <f t="shared" si="135"/>
        <v>8.7794432548179859</v>
      </c>
      <c r="CN154" s="93">
        <f t="shared" si="136"/>
        <v>79.738562091503269</v>
      </c>
      <c r="CO154" s="93">
        <f t="shared" si="137"/>
        <v>31.551724137931036</v>
      </c>
      <c r="CP154" s="93">
        <f t="shared" si="138"/>
        <v>374.69586374695865</v>
      </c>
      <c r="CQ154" s="93">
        <f t="shared" si="139"/>
        <v>697.86096256684493</v>
      </c>
      <c r="CR154" s="93">
        <f t="shared" si="140"/>
        <v>1507.8740157480315</v>
      </c>
      <c r="CS154" s="93">
        <f t="shared" si="141"/>
        <v>2526.5017667844522</v>
      </c>
      <c r="CT154" s="93">
        <f t="shared" si="142"/>
        <v>4096.6767371601209</v>
      </c>
      <c r="CU154" s="93">
        <f t="shared" si="143"/>
        <v>5294.1176470588234</v>
      </c>
      <c r="CV154" s="93">
        <f t="shared" si="144"/>
        <v>6176.4705882352937</v>
      </c>
      <c r="CW154" s="93">
        <f t="shared" si="145"/>
        <v>8267.7165354330718</v>
      </c>
    </row>
    <row r="155" spans="1:101" s="98" customFormat="1">
      <c r="A155" s="3" t="s">
        <v>383</v>
      </c>
      <c r="B155" s="92" t="s">
        <v>244</v>
      </c>
      <c r="C155" s="3" t="s">
        <v>287</v>
      </c>
      <c r="D155" s="93">
        <v>11.007999999999999</v>
      </c>
      <c r="E155" s="94">
        <v>0.1852</v>
      </c>
      <c r="F155" s="94">
        <v>3.0999999999999999E-3</v>
      </c>
      <c r="G155" s="95">
        <v>13.31</v>
      </c>
      <c r="H155" s="96">
        <v>0.45</v>
      </c>
      <c r="I155" s="97">
        <v>0.52400000000000002</v>
      </c>
      <c r="J155" s="95">
        <v>1.4999999999999999E-2</v>
      </c>
      <c r="K155" s="96">
        <v>0.36567</v>
      </c>
      <c r="M155" s="99">
        <v>2716</v>
      </c>
      <c r="N155" s="98">
        <v>62</v>
      </c>
      <c r="O155" s="99">
        <v>2698</v>
      </c>
      <c r="P155" s="98">
        <v>18</v>
      </c>
      <c r="Q155" s="93">
        <v>-0.72</v>
      </c>
      <c r="R155" s="97">
        <v>2.5000000000000001E-3</v>
      </c>
      <c r="T155" s="98">
        <v>290</v>
      </c>
      <c r="U155" s="98">
        <v>120</v>
      </c>
      <c r="V155" s="98" t="s">
        <v>250</v>
      </c>
      <c r="W155" s="98" t="s">
        <v>250</v>
      </c>
      <c r="X155" s="98">
        <v>0.05</v>
      </c>
      <c r="Y155" s="98">
        <v>0.12</v>
      </c>
      <c r="Z155" s="98">
        <v>2.95</v>
      </c>
      <c r="AA155" s="98">
        <v>0.99</v>
      </c>
      <c r="AB155" s="98">
        <v>1.29</v>
      </c>
      <c r="AC155" s="98">
        <v>0.53</v>
      </c>
      <c r="AD155" s="98">
        <v>830</v>
      </c>
      <c r="AE155" s="98">
        <v>100</v>
      </c>
      <c r="AF155" s="95">
        <v>1.2999999999999999E-3</v>
      </c>
      <c r="AG155" s="97">
        <v>5.4000000000000003E-3</v>
      </c>
      <c r="AH155" s="96">
        <v>2.38</v>
      </c>
      <c r="AI155" s="96">
        <v>0.68</v>
      </c>
      <c r="AJ155" s="95">
        <v>3.3999999999999998E-3</v>
      </c>
      <c r="AK155" s="95">
        <v>9.4000000000000004E-3</v>
      </c>
      <c r="AL155" s="96">
        <v>0.14000000000000001</v>
      </c>
      <c r="AM155" s="96">
        <v>0.2</v>
      </c>
      <c r="AN155" s="96">
        <v>1.52</v>
      </c>
      <c r="AO155" s="96">
        <v>0.77</v>
      </c>
      <c r="AP155" s="96">
        <v>0.27</v>
      </c>
      <c r="AQ155" s="96">
        <v>0.14000000000000001</v>
      </c>
      <c r="AR155" s="96">
        <v>13.3</v>
      </c>
      <c r="AS155" s="93">
        <v>3.7</v>
      </c>
      <c r="AT155" s="96">
        <v>5</v>
      </c>
      <c r="AU155" s="96">
        <v>1</v>
      </c>
      <c r="AV155" s="99">
        <v>67.3</v>
      </c>
      <c r="AW155" s="98">
        <v>7</v>
      </c>
      <c r="AX155" s="98">
        <v>28.7</v>
      </c>
      <c r="AY155" s="98">
        <v>2.6</v>
      </c>
      <c r="AZ155" s="98">
        <v>144</v>
      </c>
      <c r="BA155" s="98">
        <v>12</v>
      </c>
      <c r="BB155" s="98">
        <v>30.8</v>
      </c>
      <c r="BC155" s="98">
        <v>3.6</v>
      </c>
      <c r="BD155" s="98">
        <v>293</v>
      </c>
      <c r="BE155" s="98">
        <v>26</v>
      </c>
      <c r="BF155" s="98">
        <v>61.1</v>
      </c>
      <c r="BG155" s="98">
        <v>7.8</v>
      </c>
      <c r="BI155" s="93">
        <v>4.8</v>
      </c>
      <c r="BJ155" s="98">
        <v>3.4</v>
      </c>
      <c r="BK155" s="98">
        <v>544000</v>
      </c>
      <c r="BL155" s="98">
        <v>52000</v>
      </c>
      <c r="BM155" s="98">
        <v>9900</v>
      </c>
      <c r="BN155" s="98">
        <v>1300</v>
      </c>
      <c r="BO155" s="99">
        <v>9.5500000000000007</v>
      </c>
      <c r="BP155" s="98">
        <v>0.67</v>
      </c>
      <c r="BQ155" s="99">
        <v>23.6</v>
      </c>
      <c r="BR155" s="98">
        <v>1.7</v>
      </c>
      <c r="BT155" s="95">
        <f t="shared" si="146"/>
        <v>8.0546075085324242E-2</v>
      </c>
      <c r="BU155" s="96">
        <f t="shared" si="147"/>
        <v>16.999999999999996</v>
      </c>
      <c r="BV155" s="96">
        <f t="shared" si="148"/>
        <v>54.949494949494948</v>
      </c>
      <c r="BW155" s="96">
        <f t="shared" si="149"/>
        <v>0.40466101694915257</v>
      </c>
      <c r="BX155" s="99">
        <f>CK155/SQRT(CJ155*CL155)</f>
        <v>277.55584397115587</v>
      </c>
      <c r="BY155" s="96">
        <f t="shared" si="150"/>
        <v>16.999999999999996</v>
      </c>
      <c r="BZ155" s="97">
        <f t="shared" si="151"/>
        <v>2.0481927710843371E-2</v>
      </c>
      <c r="CA155" s="95">
        <f t="shared" si="152"/>
        <v>0.18358609519261135</v>
      </c>
      <c r="CB155" s="99">
        <f t="shared" si="157"/>
        <v>38.622287787635749</v>
      </c>
      <c r="CC155" s="99">
        <f t="shared" si="157"/>
        <v>2.7821139508042698</v>
      </c>
      <c r="CD155" s="100">
        <f t="shared" si="153"/>
        <v>705.47917997803654</v>
      </c>
      <c r="CE155" s="100">
        <f t="shared" si="156"/>
        <v>741.92196469747637</v>
      </c>
      <c r="CF155" s="100">
        <f t="shared" si="154"/>
        <v>68.082872664524515</v>
      </c>
      <c r="CG155" s="96">
        <f t="shared" si="155"/>
        <v>-0.74227601112820274</v>
      </c>
      <c r="CH155" s="96">
        <f t="shared" si="129"/>
        <v>0.89419698068897668</v>
      </c>
      <c r="CJ155" s="95">
        <f>AF155/CJ$4</f>
        <v>5.4852320675105488E-3</v>
      </c>
      <c r="CK155" s="93">
        <f t="shared" si="133"/>
        <v>3.8888888888888888</v>
      </c>
      <c r="CL155" s="93">
        <f t="shared" si="134"/>
        <v>3.5789473684210524E-2</v>
      </c>
      <c r="CM155" s="93">
        <f t="shared" si="135"/>
        <v>0.29978586723768735</v>
      </c>
      <c r="CN155" s="93">
        <f t="shared" si="136"/>
        <v>9.9346405228758172</v>
      </c>
      <c r="CO155" s="93">
        <f t="shared" si="137"/>
        <v>4.6551724137931032</v>
      </c>
      <c r="CP155" s="93">
        <f t="shared" si="138"/>
        <v>64.72019464720195</v>
      </c>
      <c r="CQ155" s="93">
        <f t="shared" si="139"/>
        <v>133.68983957219251</v>
      </c>
      <c r="CR155" s="93">
        <f t="shared" si="140"/>
        <v>264.96062992125985</v>
      </c>
      <c r="CS155" s="93">
        <f t="shared" si="141"/>
        <v>507.06713780918727</v>
      </c>
      <c r="CT155" s="93">
        <f t="shared" si="142"/>
        <v>870.09063444108756</v>
      </c>
      <c r="CU155" s="93">
        <f t="shared" si="143"/>
        <v>1207.8431372549021</v>
      </c>
      <c r="CV155" s="93">
        <f t="shared" si="144"/>
        <v>1723.5294117647059</v>
      </c>
      <c r="CW155" s="93">
        <f t="shared" si="145"/>
        <v>2405.5118110236222</v>
      </c>
    </row>
    <row r="156" spans="1:101" s="98" customFormat="1">
      <c r="A156" s="3" t="s">
        <v>384</v>
      </c>
      <c r="B156" s="92" t="s">
        <v>244</v>
      </c>
      <c r="C156" s="3" t="s">
        <v>285</v>
      </c>
      <c r="D156" s="93">
        <v>11.063000000000001</v>
      </c>
      <c r="E156" s="94">
        <v>0.18690000000000001</v>
      </c>
      <c r="F156" s="94">
        <v>2.5000000000000001E-3</v>
      </c>
      <c r="G156" s="95">
        <v>13.3</v>
      </c>
      <c r="H156" s="96">
        <v>0.44</v>
      </c>
      <c r="I156" s="97">
        <v>0.52080000000000004</v>
      </c>
      <c r="J156" s="95">
        <v>1.4E-2</v>
      </c>
      <c r="K156" s="96">
        <v>0.46665000000000001</v>
      </c>
      <c r="M156" s="99">
        <v>2703</v>
      </c>
      <c r="N156" s="98">
        <v>61</v>
      </c>
      <c r="O156" s="99">
        <v>2714</v>
      </c>
      <c r="P156" s="98">
        <v>17</v>
      </c>
      <c r="Q156" s="93">
        <v>0.2</v>
      </c>
      <c r="R156" s="97">
        <v>3.3999999999999998E-3</v>
      </c>
      <c r="T156" s="98">
        <v>150</v>
      </c>
      <c r="U156" s="98">
        <v>180</v>
      </c>
      <c r="V156" s="98">
        <v>1.5</v>
      </c>
      <c r="W156" s="98">
        <v>1.1000000000000001</v>
      </c>
      <c r="X156" s="98">
        <v>0.3</v>
      </c>
      <c r="Y156" s="98">
        <v>0.19</v>
      </c>
      <c r="Z156" s="98">
        <v>5.3</v>
      </c>
      <c r="AA156" s="98">
        <v>1.4</v>
      </c>
      <c r="AB156" s="98">
        <v>1.54</v>
      </c>
      <c r="AC156" s="98">
        <v>0.46</v>
      </c>
      <c r="AD156" s="98">
        <v>1200</v>
      </c>
      <c r="AE156" s="98">
        <v>200</v>
      </c>
      <c r="AF156" s="95" t="s">
        <v>250</v>
      </c>
      <c r="AG156" s="97" t="s">
        <v>250</v>
      </c>
      <c r="AH156" s="96">
        <v>4.8</v>
      </c>
      <c r="AI156" s="96">
        <v>1</v>
      </c>
      <c r="AJ156" s="95">
        <v>2.4E-2</v>
      </c>
      <c r="AK156" s="95">
        <v>2.1000000000000001E-2</v>
      </c>
      <c r="AL156" s="96">
        <v>0.35</v>
      </c>
      <c r="AM156" s="96">
        <v>0.39</v>
      </c>
      <c r="AN156" s="96">
        <v>1.9</v>
      </c>
      <c r="AO156" s="96">
        <v>0.87</v>
      </c>
      <c r="AP156" s="96">
        <v>0.48</v>
      </c>
      <c r="AQ156" s="96">
        <v>0.15</v>
      </c>
      <c r="AR156" s="96">
        <v>17.100000000000001</v>
      </c>
      <c r="AS156" s="93">
        <v>4.2</v>
      </c>
      <c r="AT156" s="96">
        <v>7.3</v>
      </c>
      <c r="AU156" s="96">
        <v>1.6</v>
      </c>
      <c r="AV156" s="99">
        <v>105</v>
      </c>
      <c r="AW156" s="98">
        <v>19</v>
      </c>
      <c r="AX156" s="98">
        <v>36.5</v>
      </c>
      <c r="AY156" s="98">
        <v>5.4</v>
      </c>
      <c r="AZ156" s="98">
        <v>190</v>
      </c>
      <c r="BA156" s="98">
        <v>29</v>
      </c>
      <c r="BB156" s="98">
        <v>36.700000000000003</v>
      </c>
      <c r="BC156" s="98">
        <v>5.0999999999999996</v>
      </c>
      <c r="BD156" s="98">
        <v>350</v>
      </c>
      <c r="BE156" s="98">
        <v>63</v>
      </c>
      <c r="BF156" s="98">
        <v>70</v>
      </c>
      <c r="BG156" s="98">
        <v>11</v>
      </c>
      <c r="BI156" s="93">
        <v>2.8</v>
      </c>
      <c r="BJ156" s="98">
        <v>2.4</v>
      </c>
      <c r="BK156" s="98">
        <v>528000</v>
      </c>
      <c r="BL156" s="98">
        <v>63000</v>
      </c>
      <c r="BM156" s="98">
        <v>8600</v>
      </c>
      <c r="BN156" s="98">
        <v>940</v>
      </c>
      <c r="BO156" s="99">
        <v>20.6</v>
      </c>
      <c r="BP156" s="98">
        <v>4.7</v>
      </c>
      <c r="BQ156" s="99">
        <v>41.1</v>
      </c>
      <c r="BR156" s="98">
        <v>8</v>
      </c>
      <c r="BT156" s="95">
        <f t="shared" si="146"/>
        <v>0.11742857142857144</v>
      </c>
      <c r="BU156" s="96">
        <f t="shared" si="147"/>
        <v>13.714285714285715</v>
      </c>
      <c r="BV156" s="96">
        <f t="shared" si="148"/>
        <v>61.395348837209305</v>
      </c>
      <c r="BW156" s="96">
        <f t="shared" si="149"/>
        <v>0.5012165450121655</v>
      </c>
      <c r="BX156" s="99"/>
      <c r="BY156" s="96">
        <f t="shared" si="150"/>
        <v>13.714285714285715</v>
      </c>
      <c r="BZ156" s="97">
        <f t="shared" si="151"/>
        <v>1.1428571428571429E-2</v>
      </c>
      <c r="CA156" s="95">
        <f t="shared" si="152"/>
        <v>0.25744829303163486</v>
      </c>
      <c r="CB156" s="99">
        <f t="shared" si="157"/>
        <v>67.261696104738533</v>
      </c>
      <c r="CC156" s="99">
        <f t="shared" si="157"/>
        <v>13.09230094496127</v>
      </c>
      <c r="CD156" s="100">
        <f t="shared" si="153"/>
        <v>660.90144702163991</v>
      </c>
      <c r="CE156" s="100">
        <f t="shared" si="156"/>
        <v>694.04360437595142</v>
      </c>
      <c r="CF156" s="100">
        <f t="shared" si="154"/>
        <v>74.951521928007026</v>
      </c>
      <c r="CG156" s="96">
        <f t="shared" si="155"/>
        <v>0.45967547466408121</v>
      </c>
      <c r="CH156" s="96">
        <f t="shared" si="129"/>
        <v>1.0218956979269191</v>
      </c>
      <c r="CJ156" s="95"/>
      <c r="CK156" s="93">
        <f t="shared" si="133"/>
        <v>7.8431372549019605</v>
      </c>
      <c r="CL156" s="93">
        <f t="shared" si="134"/>
        <v>0.25263157894736843</v>
      </c>
      <c r="CM156" s="93">
        <f t="shared" si="135"/>
        <v>0.7494646680942183</v>
      </c>
      <c r="CN156" s="93">
        <f t="shared" si="136"/>
        <v>12.418300653594772</v>
      </c>
      <c r="CO156" s="93">
        <f t="shared" si="137"/>
        <v>8.275862068965516</v>
      </c>
      <c r="CP156" s="93">
        <f t="shared" si="138"/>
        <v>83.211678832116803</v>
      </c>
      <c r="CQ156" s="93">
        <f t="shared" si="139"/>
        <v>195.18716577540104</v>
      </c>
      <c r="CR156" s="93">
        <f t="shared" si="140"/>
        <v>413.38582677165351</v>
      </c>
      <c r="CS156" s="93">
        <f t="shared" si="141"/>
        <v>644.87632508833929</v>
      </c>
      <c r="CT156" s="93">
        <f t="shared" si="142"/>
        <v>1148.0362537764349</v>
      </c>
      <c r="CU156" s="93">
        <f t="shared" si="143"/>
        <v>1439.2156862745101</v>
      </c>
      <c r="CV156" s="93">
        <f t="shared" si="144"/>
        <v>2058.8235294117644</v>
      </c>
      <c r="CW156" s="93">
        <f t="shared" si="145"/>
        <v>2755.9055118110236</v>
      </c>
    </row>
    <row r="157" spans="1:101" s="98" customFormat="1">
      <c r="A157" s="3" t="s">
        <v>385</v>
      </c>
      <c r="B157" s="92" t="s">
        <v>244</v>
      </c>
      <c r="C157" s="3"/>
      <c r="D157" s="93">
        <v>11.007999999999999</v>
      </c>
      <c r="E157" s="94">
        <v>0.18387000000000001</v>
      </c>
      <c r="F157" s="94">
        <v>1E-3</v>
      </c>
      <c r="G157" s="95">
        <v>13.154</v>
      </c>
      <c r="H157" s="96">
        <v>0.39</v>
      </c>
      <c r="I157" s="97">
        <v>0.52180000000000004</v>
      </c>
      <c r="J157" s="95">
        <v>1.4E-2</v>
      </c>
      <c r="K157" s="96">
        <v>0.58803000000000005</v>
      </c>
      <c r="M157" s="99">
        <v>2706.9</v>
      </c>
      <c r="N157" s="98">
        <v>60</v>
      </c>
      <c r="O157" s="99">
        <v>2688.1</v>
      </c>
      <c r="P157" s="98">
        <v>5.5</v>
      </c>
      <c r="Q157" s="93">
        <v>-0.7</v>
      </c>
      <c r="R157" s="97">
        <v>6.0999999999999997E-4</v>
      </c>
      <c r="T157" s="98">
        <v>380</v>
      </c>
      <c r="U157" s="98">
        <v>140</v>
      </c>
      <c r="V157" s="98" t="s">
        <v>250</v>
      </c>
      <c r="W157" s="98" t="s">
        <v>250</v>
      </c>
      <c r="X157" s="98">
        <v>0.51</v>
      </c>
      <c r="Y157" s="98">
        <v>0.23</v>
      </c>
      <c r="Z157" s="98">
        <v>5.4</v>
      </c>
      <c r="AA157" s="98">
        <v>1.2</v>
      </c>
      <c r="AB157" s="98">
        <v>2.0699999999999998</v>
      </c>
      <c r="AC157" s="98">
        <v>0.5</v>
      </c>
      <c r="AD157" s="98">
        <v>3280</v>
      </c>
      <c r="AE157" s="98">
        <v>340</v>
      </c>
      <c r="AF157" s="95">
        <v>0.14199999999999999</v>
      </c>
      <c r="AG157" s="97">
        <v>4.2000000000000003E-2</v>
      </c>
      <c r="AH157" s="96">
        <v>9.6999999999999993</v>
      </c>
      <c r="AI157" s="96">
        <v>1.2</v>
      </c>
      <c r="AJ157" s="95">
        <v>0.19700000000000001</v>
      </c>
      <c r="AK157" s="95">
        <v>6.6000000000000003E-2</v>
      </c>
      <c r="AL157" s="96">
        <v>3.84</v>
      </c>
      <c r="AM157" s="96">
        <v>0.98</v>
      </c>
      <c r="AN157" s="96">
        <v>9.1999999999999993</v>
      </c>
      <c r="AO157" s="96">
        <v>2.2000000000000002</v>
      </c>
      <c r="AP157" s="96">
        <v>1.31</v>
      </c>
      <c r="AQ157" s="96">
        <v>0.55000000000000004</v>
      </c>
      <c r="AR157" s="96">
        <v>60.8</v>
      </c>
      <c r="AS157" s="93">
        <v>9.1999999999999993</v>
      </c>
      <c r="AT157" s="96">
        <v>21.9</v>
      </c>
      <c r="AU157" s="96">
        <v>2.9</v>
      </c>
      <c r="AV157" s="99">
        <v>295</v>
      </c>
      <c r="AW157" s="98">
        <v>29</v>
      </c>
      <c r="AX157" s="98">
        <v>115.2</v>
      </c>
      <c r="AY157" s="98">
        <v>9.8000000000000007</v>
      </c>
      <c r="AZ157" s="98">
        <v>543</v>
      </c>
      <c r="BA157" s="98">
        <v>47</v>
      </c>
      <c r="BB157" s="98">
        <v>101</v>
      </c>
      <c r="BC157" s="98">
        <v>10</v>
      </c>
      <c r="BD157" s="98">
        <v>842</v>
      </c>
      <c r="BE157" s="98">
        <v>93</v>
      </c>
      <c r="BF157" s="98">
        <v>159</v>
      </c>
      <c r="BG157" s="98">
        <v>16</v>
      </c>
      <c r="BI157" s="93">
        <v>5.3</v>
      </c>
      <c r="BJ157" s="98">
        <v>2.9</v>
      </c>
      <c r="BK157" s="98">
        <v>539000</v>
      </c>
      <c r="BL157" s="98">
        <v>62000</v>
      </c>
      <c r="BM157" s="98">
        <v>9800</v>
      </c>
      <c r="BN157" s="98">
        <v>1200</v>
      </c>
      <c r="BO157" s="99">
        <v>51.7</v>
      </c>
      <c r="BP157" s="98">
        <v>3.2</v>
      </c>
      <c r="BQ157" s="99">
        <v>82.8</v>
      </c>
      <c r="BR157" s="98">
        <v>6.6</v>
      </c>
      <c r="BT157" s="95">
        <f t="shared" si="146"/>
        <v>9.8337292161520193E-2</v>
      </c>
      <c r="BU157" s="96">
        <f t="shared" si="147"/>
        <v>2.5260416666666665</v>
      </c>
      <c r="BV157" s="96">
        <f t="shared" si="148"/>
        <v>55</v>
      </c>
      <c r="BW157" s="96">
        <f t="shared" si="149"/>
        <v>0.62439613526570059</v>
      </c>
      <c r="BX157" s="99">
        <f>CK157/SQRT(CJ157*CL157)</f>
        <v>14.219325714995355</v>
      </c>
      <c r="BY157" s="96">
        <f t="shared" si="150"/>
        <v>2.5260416666666665</v>
      </c>
      <c r="BZ157" s="97">
        <f t="shared" si="151"/>
        <v>7.7013465447154468E-4</v>
      </c>
      <c r="CA157" s="95">
        <f t="shared" si="152"/>
        <v>0.16933597290314548</v>
      </c>
      <c r="CB157" s="99">
        <f t="shared" si="157"/>
        <v>135.50531478034915</v>
      </c>
      <c r="CC157" s="99">
        <f t="shared" si="157"/>
        <v>10.801148279593047</v>
      </c>
      <c r="CD157" s="100">
        <f t="shared" si="153"/>
        <v>714.14162462213608</v>
      </c>
      <c r="CE157" s="100">
        <f t="shared" si="156"/>
        <v>751.2446493257886</v>
      </c>
      <c r="CF157" s="100">
        <f t="shared" si="154"/>
        <v>53.957055035109327</v>
      </c>
      <c r="CG157" s="96">
        <f t="shared" si="155"/>
        <v>0.5190359826888804</v>
      </c>
      <c r="CH157" s="96">
        <f t="shared" si="129"/>
        <v>0.61168316625565489</v>
      </c>
      <c r="CJ157" s="95">
        <f>AF157/CJ$4</f>
        <v>0.59915611814345993</v>
      </c>
      <c r="CK157" s="93">
        <f t="shared" si="133"/>
        <v>15.849673202614378</v>
      </c>
      <c r="CL157" s="93">
        <f t="shared" si="134"/>
        <v>2.073684210526316</v>
      </c>
      <c r="CM157" s="93">
        <f t="shared" si="135"/>
        <v>8.2226980728051391</v>
      </c>
      <c r="CN157" s="93">
        <f t="shared" si="136"/>
        <v>60.130718954248366</v>
      </c>
      <c r="CO157" s="93">
        <f t="shared" si="137"/>
        <v>22.586206896551722</v>
      </c>
      <c r="CP157" s="93">
        <f t="shared" si="138"/>
        <v>295.86374695863748</v>
      </c>
      <c r="CQ157" s="93">
        <f t="shared" si="139"/>
        <v>585.56149732620315</v>
      </c>
      <c r="CR157" s="93">
        <f t="shared" si="140"/>
        <v>1161.4173228346456</v>
      </c>
      <c r="CS157" s="93">
        <f t="shared" si="141"/>
        <v>2035.3356890459365</v>
      </c>
      <c r="CT157" s="93">
        <f t="shared" si="142"/>
        <v>3280.9667673716012</v>
      </c>
      <c r="CU157" s="93">
        <f t="shared" si="143"/>
        <v>3960.7843137254904</v>
      </c>
      <c r="CV157" s="93">
        <f t="shared" si="144"/>
        <v>4952.9411764705883</v>
      </c>
      <c r="CW157" s="93">
        <f t="shared" si="145"/>
        <v>6259.8425196850394</v>
      </c>
    </row>
    <row r="158" spans="1:101" s="98" customFormat="1">
      <c r="A158" s="3" t="s">
        <v>386</v>
      </c>
      <c r="B158" s="92" t="s">
        <v>244</v>
      </c>
      <c r="C158" s="3"/>
      <c r="D158" s="93">
        <v>11.042</v>
      </c>
      <c r="E158" s="94">
        <v>0.18559999999999999</v>
      </c>
      <c r="F158" s="94">
        <v>3.3E-3</v>
      </c>
      <c r="G158" s="95">
        <v>13.28</v>
      </c>
      <c r="H158" s="96">
        <v>0.45</v>
      </c>
      <c r="I158" s="97">
        <v>0.52190000000000003</v>
      </c>
      <c r="J158" s="95">
        <v>1.4E-2</v>
      </c>
      <c r="K158" s="96">
        <v>0.20168</v>
      </c>
      <c r="M158" s="99">
        <v>2707</v>
      </c>
      <c r="N158" s="98">
        <v>61</v>
      </c>
      <c r="O158" s="99">
        <v>2701</v>
      </c>
      <c r="P158" s="98">
        <v>20</v>
      </c>
      <c r="Q158" s="93">
        <v>-0.27</v>
      </c>
      <c r="R158" s="97">
        <v>3.8E-3</v>
      </c>
      <c r="T158" s="98">
        <v>240</v>
      </c>
      <c r="U158" s="98">
        <v>120</v>
      </c>
      <c r="V158" s="98">
        <v>0.2</v>
      </c>
      <c r="W158" s="98">
        <v>1.6</v>
      </c>
      <c r="X158" s="98" t="s">
        <v>250</v>
      </c>
      <c r="Y158" s="98" t="s">
        <v>250</v>
      </c>
      <c r="Z158" s="98">
        <v>3.04</v>
      </c>
      <c r="AA158" s="98">
        <v>0.96</v>
      </c>
      <c r="AB158" s="98">
        <v>1.1000000000000001</v>
      </c>
      <c r="AC158" s="98">
        <v>0.48</v>
      </c>
      <c r="AD158" s="98">
        <v>888</v>
      </c>
      <c r="AE158" s="98">
        <v>81</v>
      </c>
      <c r="AF158" s="95" t="s">
        <v>250</v>
      </c>
      <c r="AG158" s="97" t="s">
        <v>250</v>
      </c>
      <c r="AH158" s="96">
        <v>2.57</v>
      </c>
      <c r="AI158" s="96">
        <v>0.59</v>
      </c>
      <c r="AJ158" s="95">
        <v>3.0000000000000001E-3</v>
      </c>
      <c r="AK158" s="95">
        <v>8.5000000000000006E-3</v>
      </c>
      <c r="AL158" s="96">
        <v>0.39</v>
      </c>
      <c r="AM158" s="96">
        <v>0.32</v>
      </c>
      <c r="AN158" s="96">
        <v>2.2200000000000002</v>
      </c>
      <c r="AO158" s="96">
        <v>0.87</v>
      </c>
      <c r="AP158" s="96">
        <v>0.33</v>
      </c>
      <c r="AQ158" s="96">
        <v>0.18</v>
      </c>
      <c r="AR158" s="96">
        <v>14.2</v>
      </c>
      <c r="AS158" s="93">
        <v>4.4000000000000004</v>
      </c>
      <c r="AT158" s="96">
        <v>5.08</v>
      </c>
      <c r="AU158" s="96">
        <v>0.9</v>
      </c>
      <c r="AV158" s="99">
        <v>77.3</v>
      </c>
      <c r="AW158" s="98">
        <v>7.8</v>
      </c>
      <c r="AX158" s="98">
        <v>30.5</v>
      </c>
      <c r="AY158" s="98">
        <v>3.3</v>
      </c>
      <c r="AZ158" s="98">
        <v>158</v>
      </c>
      <c r="BA158" s="98">
        <v>16</v>
      </c>
      <c r="BB158" s="98">
        <v>32.5</v>
      </c>
      <c r="BC158" s="98">
        <v>5</v>
      </c>
      <c r="BD158" s="98">
        <v>289</v>
      </c>
      <c r="BE158" s="98">
        <v>29</v>
      </c>
      <c r="BF158" s="98">
        <v>62</v>
      </c>
      <c r="BG158" s="98">
        <v>6.7</v>
      </c>
      <c r="BI158" s="93">
        <v>4.5999999999999996</v>
      </c>
      <c r="BJ158" s="98">
        <v>3</v>
      </c>
      <c r="BK158" s="98">
        <v>548000</v>
      </c>
      <c r="BL158" s="98">
        <v>72000</v>
      </c>
      <c r="BM158" s="98">
        <v>9180</v>
      </c>
      <c r="BN158" s="98">
        <v>890</v>
      </c>
      <c r="BO158" s="99">
        <v>10.15</v>
      </c>
      <c r="BP158" s="98">
        <v>0.75</v>
      </c>
      <c r="BQ158" s="99">
        <v>25.9</v>
      </c>
      <c r="BR158" s="98">
        <v>1.9</v>
      </c>
      <c r="BT158" s="95">
        <f t="shared" si="146"/>
        <v>8.9619377162629757E-2</v>
      </c>
      <c r="BU158" s="96">
        <f t="shared" si="147"/>
        <v>6.5897435897435894</v>
      </c>
      <c r="BV158" s="96">
        <f t="shared" si="148"/>
        <v>59.694989106753816</v>
      </c>
      <c r="BW158" s="96">
        <f t="shared" si="149"/>
        <v>0.39189189189189194</v>
      </c>
      <c r="BX158" s="99"/>
      <c r="BY158" s="96">
        <f t="shared" si="150"/>
        <v>6.5897435897435894</v>
      </c>
      <c r="BZ158" s="97">
        <f t="shared" si="151"/>
        <v>7.4208824208824202E-3</v>
      </c>
      <c r="CA158" s="95">
        <f t="shared" si="152"/>
        <v>0.17968710654609676</v>
      </c>
      <c r="CB158" s="99">
        <f t="shared" si="157"/>
        <v>42.386324309312108</v>
      </c>
      <c r="CC158" s="99">
        <f t="shared" si="157"/>
        <v>3.1094214744283013</v>
      </c>
      <c r="CD158" s="100">
        <f t="shared" si="153"/>
        <v>701.80514273689687</v>
      </c>
      <c r="CE158" s="100">
        <f t="shared" si="156"/>
        <v>737.96975311523488</v>
      </c>
      <c r="CF158" s="100">
        <f t="shared" si="154"/>
        <v>62.375281377566139</v>
      </c>
      <c r="CG158" s="96">
        <f t="shared" si="155"/>
        <v>-0.65288409674899883</v>
      </c>
      <c r="CH158" s="96">
        <f t="shared" si="129"/>
        <v>0.78185266909557549</v>
      </c>
      <c r="CJ158" s="95"/>
      <c r="CK158" s="93">
        <f t="shared" si="133"/>
        <v>4.1993464052287583</v>
      </c>
      <c r="CL158" s="93">
        <f t="shared" si="134"/>
        <v>3.1578947368421054E-2</v>
      </c>
      <c r="CM158" s="93">
        <f t="shared" si="135"/>
        <v>0.83511777301927193</v>
      </c>
      <c r="CN158" s="93">
        <f t="shared" si="136"/>
        <v>14.509803921568629</v>
      </c>
      <c r="CO158" s="93">
        <f t="shared" si="137"/>
        <v>5.6896551724137927</v>
      </c>
      <c r="CP158" s="93">
        <f t="shared" si="138"/>
        <v>69.099756690997566</v>
      </c>
      <c r="CQ158" s="93">
        <f t="shared" si="139"/>
        <v>135.82887700534758</v>
      </c>
      <c r="CR158" s="93">
        <f t="shared" si="140"/>
        <v>304.3307086614173</v>
      </c>
      <c r="CS158" s="93">
        <f t="shared" si="141"/>
        <v>538.86925795053003</v>
      </c>
      <c r="CT158" s="93">
        <f t="shared" si="142"/>
        <v>954.68277945619332</v>
      </c>
      <c r="CU158" s="93">
        <f t="shared" si="143"/>
        <v>1274.5098039215686</v>
      </c>
      <c r="CV158" s="93">
        <f t="shared" si="144"/>
        <v>1699.9999999999998</v>
      </c>
      <c r="CW158" s="93">
        <f t="shared" si="145"/>
        <v>2440.944881889764</v>
      </c>
    </row>
    <row r="159" spans="1:101" s="98" customFormat="1">
      <c r="A159" s="3" t="s">
        <v>387</v>
      </c>
      <c r="B159" s="3" t="s">
        <v>268</v>
      </c>
      <c r="C159" s="3"/>
      <c r="D159" s="93">
        <v>7.0739999999999998</v>
      </c>
      <c r="E159" s="94">
        <v>0.18479999999999999</v>
      </c>
      <c r="F159" s="94">
        <v>1E-3</v>
      </c>
      <c r="G159" s="95">
        <v>13.191000000000001</v>
      </c>
      <c r="H159" s="96">
        <v>0.33</v>
      </c>
      <c r="I159" s="97">
        <v>0.51890000000000003</v>
      </c>
      <c r="J159" s="95">
        <v>1.0999999999999999E-2</v>
      </c>
      <c r="K159" s="96">
        <v>0.65320999999999996</v>
      </c>
      <c r="M159" s="99">
        <v>2694.4</v>
      </c>
      <c r="N159" s="98">
        <v>47</v>
      </c>
      <c r="O159" s="99">
        <v>2696.9</v>
      </c>
      <c r="P159" s="98">
        <v>4.3</v>
      </c>
      <c r="Q159" s="93">
        <v>0.09</v>
      </c>
      <c r="R159" s="97">
        <v>5.2999999999999998E-4</v>
      </c>
      <c r="T159" s="98">
        <v>340</v>
      </c>
      <c r="U159" s="98">
        <v>190</v>
      </c>
      <c r="V159" s="98">
        <v>0.6</v>
      </c>
      <c r="W159" s="98">
        <v>1.2</v>
      </c>
      <c r="X159" s="98">
        <v>0.28999999999999998</v>
      </c>
      <c r="Y159" s="98">
        <v>0.2</v>
      </c>
      <c r="Z159" s="98">
        <v>8.8000000000000007</v>
      </c>
      <c r="AA159" s="98">
        <v>1.3</v>
      </c>
      <c r="AB159" s="98">
        <v>2.37</v>
      </c>
      <c r="AC159" s="98">
        <v>0.48</v>
      </c>
      <c r="AD159" s="98">
        <v>4020</v>
      </c>
      <c r="AE159" s="98">
        <v>340</v>
      </c>
      <c r="AF159" s="95">
        <v>1.0999999999999999E-2</v>
      </c>
      <c r="AG159" s="97">
        <v>1.0999999999999999E-2</v>
      </c>
      <c r="AH159" s="96">
        <v>11.2</v>
      </c>
      <c r="AI159" s="96">
        <v>2.2000000000000002</v>
      </c>
      <c r="AJ159" s="95">
        <v>0.214</v>
      </c>
      <c r="AK159" s="95">
        <v>5.8000000000000003E-2</v>
      </c>
      <c r="AL159" s="96">
        <v>4.9000000000000004</v>
      </c>
      <c r="AM159" s="96">
        <v>1.4</v>
      </c>
      <c r="AN159" s="96">
        <v>12.2</v>
      </c>
      <c r="AO159" s="96">
        <v>1.8</v>
      </c>
      <c r="AP159" s="96">
        <v>1.43</v>
      </c>
      <c r="AQ159" s="96">
        <v>0.34</v>
      </c>
      <c r="AR159" s="96">
        <v>79.900000000000006</v>
      </c>
      <c r="AS159" s="93">
        <v>8.5</v>
      </c>
      <c r="AT159" s="96">
        <v>30.4</v>
      </c>
      <c r="AU159" s="96">
        <v>2.5</v>
      </c>
      <c r="AV159" s="99">
        <v>391</v>
      </c>
      <c r="AW159" s="98">
        <v>35</v>
      </c>
      <c r="AX159" s="98">
        <v>154</v>
      </c>
      <c r="AY159" s="98">
        <v>14</v>
      </c>
      <c r="AZ159" s="98">
        <v>714</v>
      </c>
      <c r="BA159" s="98">
        <v>66</v>
      </c>
      <c r="BB159" s="98">
        <v>135.5</v>
      </c>
      <c r="BC159" s="98">
        <v>8.8000000000000007</v>
      </c>
      <c r="BD159" s="98">
        <v>1108</v>
      </c>
      <c r="BE159" s="98">
        <v>89</v>
      </c>
      <c r="BF159" s="98">
        <v>219</v>
      </c>
      <c r="BG159" s="98">
        <v>17</v>
      </c>
      <c r="BI159" s="93">
        <v>3.1</v>
      </c>
      <c r="BJ159" s="98">
        <v>2.2000000000000002</v>
      </c>
      <c r="BK159" s="98">
        <v>524000</v>
      </c>
      <c r="BL159" s="98">
        <v>37000</v>
      </c>
      <c r="BM159" s="98">
        <v>9140</v>
      </c>
      <c r="BN159" s="98">
        <v>910</v>
      </c>
      <c r="BO159" s="99">
        <v>69.3</v>
      </c>
      <c r="BP159" s="98">
        <v>5.2</v>
      </c>
      <c r="BQ159" s="99">
        <v>103</v>
      </c>
      <c r="BR159" s="98">
        <v>6.9</v>
      </c>
      <c r="BT159" s="95">
        <f t="shared" si="146"/>
        <v>9.2960288808664263E-2</v>
      </c>
      <c r="BU159" s="96">
        <f t="shared" si="147"/>
        <v>2.2857142857142856</v>
      </c>
      <c r="BV159" s="96">
        <f t="shared" si="148"/>
        <v>57.330415754923415</v>
      </c>
      <c r="BW159" s="96">
        <f t="shared" si="149"/>
        <v>0.67281553398058247</v>
      </c>
      <c r="BX159" s="99">
        <f>CK159/SQRT(CJ159*CL159)</f>
        <v>56.597773514093745</v>
      </c>
      <c r="BY159" s="96">
        <f t="shared" si="150"/>
        <v>2.2857142857142856</v>
      </c>
      <c r="BZ159" s="97">
        <f t="shared" si="151"/>
        <v>5.6858564321250889E-4</v>
      </c>
      <c r="CA159" s="95">
        <f t="shared" si="152"/>
        <v>0.14002525344831906</v>
      </c>
      <c r="CB159" s="99">
        <f t="shared" si="157"/>
        <v>168.56337466637635</v>
      </c>
      <c r="CC159" s="99">
        <f t="shared" si="157"/>
        <v>11.292109565029095</v>
      </c>
      <c r="CD159" s="100">
        <f t="shared" si="153"/>
        <v>669.00565304019926</v>
      </c>
      <c r="CE159" s="100">
        <f t="shared" si="156"/>
        <v>702.73579878407793</v>
      </c>
      <c r="CF159" s="100">
        <f t="shared" si="154"/>
        <v>63.374669205614083</v>
      </c>
      <c r="CG159" s="96">
        <f t="shared" si="155"/>
        <v>1.0437207126738055</v>
      </c>
      <c r="CH159" s="96">
        <f t="shared" si="129"/>
        <v>0.82371166273903829</v>
      </c>
      <c r="CJ159" s="95">
        <f>AF159/CJ$4</f>
        <v>4.6413502109704644E-2</v>
      </c>
      <c r="CK159" s="93">
        <f t="shared" si="133"/>
        <v>18.300653594771241</v>
      </c>
      <c r="CL159" s="93">
        <f t="shared" si="134"/>
        <v>2.2526315789473683</v>
      </c>
      <c r="CM159" s="93">
        <f t="shared" si="135"/>
        <v>10.492505353319059</v>
      </c>
      <c r="CN159" s="93">
        <f t="shared" si="136"/>
        <v>79.738562091503269</v>
      </c>
      <c r="CO159" s="93">
        <f t="shared" si="137"/>
        <v>24.6551724137931</v>
      </c>
      <c r="CP159" s="93">
        <f t="shared" si="138"/>
        <v>388.80778588807789</v>
      </c>
      <c r="CQ159" s="93">
        <f t="shared" si="139"/>
        <v>812.8342245989304</v>
      </c>
      <c r="CR159" s="93">
        <f t="shared" si="140"/>
        <v>1539.3700787401574</v>
      </c>
      <c r="CS159" s="93">
        <f t="shared" si="141"/>
        <v>2720.8480565371024</v>
      </c>
      <c r="CT159" s="93">
        <f t="shared" si="142"/>
        <v>4314.1993957703926</v>
      </c>
      <c r="CU159" s="93">
        <f t="shared" si="143"/>
        <v>5313.7254901960787</v>
      </c>
      <c r="CV159" s="93">
        <f t="shared" si="144"/>
        <v>6517.6470588235288</v>
      </c>
      <c r="CW159" s="93">
        <f t="shared" si="145"/>
        <v>8622.0472440944886</v>
      </c>
    </row>
    <row r="160" spans="1:101" s="118" customFormat="1">
      <c r="A160" s="111" t="s">
        <v>388</v>
      </c>
      <c r="B160" s="111" t="s">
        <v>268</v>
      </c>
      <c r="C160" s="111"/>
      <c r="D160" s="113">
        <v>7.0469999999999997</v>
      </c>
      <c r="E160" s="114">
        <v>0.18590000000000001</v>
      </c>
      <c r="F160" s="114">
        <v>3.8999999999999998E-3</v>
      </c>
      <c r="G160" s="115">
        <v>12.62</v>
      </c>
      <c r="H160" s="116">
        <v>0.41</v>
      </c>
      <c r="I160" s="117">
        <v>0.49349999999999999</v>
      </c>
      <c r="J160" s="115">
        <v>1.0999999999999999E-2</v>
      </c>
      <c r="K160" s="116">
        <v>0.36649999999999999</v>
      </c>
      <c r="M160" s="119">
        <v>2586</v>
      </c>
      <c r="N160" s="118">
        <v>48</v>
      </c>
      <c r="O160" s="119">
        <v>2708</v>
      </c>
      <c r="P160" s="118">
        <v>22</v>
      </c>
      <c r="Q160" s="113">
        <v>4.5</v>
      </c>
      <c r="R160" s="117">
        <v>1.44E-2</v>
      </c>
      <c r="T160" s="118">
        <v>270</v>
      </c>
      <c r="U160" s="118">
        <v>200</v>
      </c>
      <c r="V160" s="118">
        <v>8.1</v>
      </c>
      <c r="W160" s="118">
        <v>3.3</v>
      </c>
      <c r="X160" s="118">
        <v>1.17</v>
      </c>
      <c r="Y160" s="118">
        <v>0.51</v>
      </c>
      <c r="Z160" s="118">
        <v>2.95</v>
      </c>
      <c r="AA160" s="118">
        <v>0.81</v>
      </c>
      <c r="AB160" s="118">
        <v>0.74</v>
      </c>
      <c r="AC160" s="118">
        <v>0.19</v>
      </c>
      <c r="AD160" s="118">
        <v>736</v>
      </c>
      <c r="AE160" s="118">
        <v>56</v>
      </c>
      <c r="AF160" s="115">
        <v>2.12</v>
      </c>
      <c r="AG160" s="117">
        <v>0.17</v>
      </c>
      <c r="AH160" s="116">
        <v>42</v>
      </c>
      <c r="AI160" s="116">
        <v>6.1</v>
      </c>
      <c r="AJ160" s="115">
        <v>1.27</v>
      </c>
      <c r="AK160" s="115">
        <v>0.18</v>
      </c>
      <c r="AL160" s="116">
        <v>8.5</v>
      </c>
      <c r="AM160" s="116">
        <v>1.5</v>
      </c>
      <c r="AN160" s="116">
        <v>3.6</v>
      </c>
      <c r="AO160" s="116">
        <v>1.2</v>
      </c>
      <c r="AP160" s="116">
        <v>0.63</v>
      </c>
      <c r="AQ160" s="116">
        <v>0.2</v>
      </c>
      <c r="AR160" s="116">
        <v>14.3</v>
      </c>
      <c r="AS160" s="113">
        <v>3.3</v>
      </c>
      <c r="AT160" s="116">
        <v>4.72</v>
      </c>
      <c r="AU160" s="116">
        <v>0.78</v>
      </c>
      <c r="AV160" s="119">
        <v>62.4</v>
      </c>
      <c r="AW160" s="118">
        <v>5.9</v>
      </c>
      <c r="AX160" s="118">
        <v>24.8</v>
      </c>
      <c r="AY160" s="118">
        <v>2.1</v>
      </c>
      <c r="AZ160" s="118">
        <v>125.4</v>
      </c>
      <c r="BA160" s="118">
        <v>8.1999999999999993</v>
      </c>
      <c r="BB160" s="118">
        <v>25.9</v>
      </c>
      <c r="BC160" s="118">
        <v>1.5</v>
      </c>
      <c r="BD160" s="118">
        <v>242</v>
      </c>
      <c r="BE160" s="118">
        <v>14</v>
      </c>
      <c r="BF160" s="118">
        <v>50.8</v>
      </c>
      <c r="BG160" s="118">
        <v>3.2</v>
      </c>
      <c r="BI160" s="113">
        <v>4.3</v>
      </c>
      <c r="BJ160" s="118">
        <v>2.5</v>
      </c>
      <c r="BK160" s="118">
        <v>491000</v>
      </c>
      <c r="BL160" s="118">
        <v>33000</v>
      </c>
      <c r="BM160" s="118">
        <v>8580</v>
      </c>
      <c r="BN160" s="118">
        <v>510</v>
      </c>
      <c r="BO160" s="119">
        <v>8.7200000000000006</v>
      </c>
      <c r="BP160" s="118">
        <v>0.34</v>
      </c>
      <c r="BQ160" s="119">
        <v>22.87</v>
      </c>
      <c r="BR160" s="118">
        <v>0.91</v>
      </c>
      <c r="BT160" s="115"/>
      <c r="BU160" s="116"/>
      <c r="BV160" s="116"/>
      <c r="BW160" s="116"/>
      <c r="BX160" s="119"/>
      <c r="BY160" s="116"/>
      <c r="BZ160" s="117"/>
      <c r="CA160" s="115"/>
      <c r="CB160" s="99"/>
      <c r="CC160" s="99"/>
      <c r="CD160" s="120"/>
      <c r="CE160" s="100"/>
      <c r="CF160" s="100"/>
      <c r="CG160" s="116"/>
      <c r="CH160" s="96"/>
      <c r="CJ160" s="115">
        <f>AF160/CJ$4</f>
        <v>8.9451476793248954</v>
      </c>
      <c r="CK160" s="113">
        <f t="shared" si="133"/>
        <v>68.627450980392155</v>
      </c>
      <c r="CL160" s="113">
        <f t="shared" si="134"/>
        <v>13.368421052631579</v>
      </c>
      <c r="CM160" s="113">
        <f t="shared" si="135"/>
        <v>18.201284796573876</v>
      </c>
      <c r="CN160" s="113">
        <f t="shared" si="136"/>
        <v>23.529411764705884</v>
      </c>
      <c r="CO160" s="113">
        <f t="shared" si="137"/>
        <v>10.86206896551724</v>
      </c>
      <c r="CP160" s="113">
        <f t="shared" si="138"/>
        <v>69.586374695863753</v>
      </c>
      <c r="CQ160" s="113">
        <f t="shared" si="139"/>
        <v>126.20320855614972</v>
      </c>
      <c r="CR160" s="113">
        <f t="shared" si="140"/>
        <v>245.66929133858267</v>
      </c>
      <c r="CS160" s="113">
        <f t="shared" si="141"/>
        <v>438.16254416961135</v>
      </c>
      <c r="CT160" s="113">
        <f t="shared" si="142"/>
        <v>757.70392749244718</v>
      </c>
      <c r="CU160" s="113">
        <f t="shared" si="143"/>
        <v>1015.686274509804</v>
      </c>
      <c r="CV160" s="113">
        <f t="shared" si="144"/>
        <v>1423.5294117647059</v>
      </c>
      <c r="CW160" s="113">
        <f t="shared" si="145"/>
        <v>2000</v>
      </c>
    </row>
    <row r="161" spans="1:101" s="98" customFormat="1">
      <c r="A161" s="3" t="s">
        <v>389</v>
      </c>
      <c r="B161" s="3" t="s">
        <v>268</v>
      </c>
      <c r="C161" s="3"/>
      <c r="D161" s="93">
        <v>7.0279999999999996</v>
      </c>
      <c r="E161" s="94">
        <v>0.18529999999999999</v>
      </c>
      <c r="F161" s="94">
        <v>1.1000000000000001E-3</v>
      </c>
      <c r="G161" s="95">
        <v>13.433999999999999</v>
      </c>
      <c r="H161" s="96">
        <v>0.33</v>
      </c>
      <c r="I161" s="97">
        <v>0.52690000000000003</v>
      </c>
      <c r="J161" s="95">
        <v>1.0999999999999999E-2</v>
      </c>
      <c r="K161" s="96">
        <v>0.29980000000000001</v>
      </c>
      <c r="M161" s="99">
        <v>2728.2</v>
      </c>
      <c r="N161" s="98">
        <v>48</v>
      </c>
      <c r="O161" s="99">
        <v>2701.6</v>
      </c>
      <c r="P161" s="98">
        <v>7.5</v>
      </c>
      <c r="Q161" s="93">
        <v>-0.99</v>
      </c>
      <c r="R161" s="97">
        <v>5.0000000000000002E-5</v>
      </c>
      <c r="T161" s="98">
        <v>510</v>
      </c>
      <c r="U161" s="98">
        <v>160</v>
      </c>
      <c r="V161" s="98">
        <v>0.2</v>
      </c>
      <c r="W161" s="98">
        <v>1.2</v>
      </c>
      <c r="X161" s="98">
        <v>0.7</v>
      </c>
      <c r="Y161" s="98">
        <v>0.31</v>
      </c>
      <c r="Z161" s="98">
        <v>7.4</v>
      </c>
      <c r="AA161" s="98">
        <v>1.3</v>
      </c>
      <c r="AB161" s="98">
        <v>2.63</v>
      </c>
      <c r="AC161" s="98">
        <v>0.56999999999999995</v>
      </c>
      <c r="AD161" s="98">
        <v>4530</v>
      </c>
      <c r="AE161" s="98">
        <v>310</v>
      </c>
      <c r="AF161" s="95">
        <v>1.4999999999999999E-2</v>
      </c>
      <c r="AG161" s="97">
        <v>1.2E-2</v>
      </c>
      <c r="AH161" s="96">
        <v>9.3000000000000007</v>
      </c>
      <c r="AI161" s="96">
        <v>1.5</v>
      </c>
      <c r="AJ161" s="95">
        <v>0.19500000000000001</v>
      </c>
      <c r="AK161" s="95">
        <v>6.8000000000000005E-2</v>
      </c>
      <c r="AL161" s="96">
        <v>4.5999999999999996</v>
      </c>
      <c r="AM161" s="96">
        <v>1.2</v>
      </c>
      <c r="AN161" s="96">
        <v>11.8</v>
      </c>
      <c r="AO161" s="96">
        <v>1.2</v>
      </c>
      <c r="AP161" s="96">
        <v>1.89</v>
      </c>
      <c r="AQ161" s="96">
        <v>0.47</v>
      </c>
      <c r="AR161" s="96">
        <v>84.4</v>
      </c>
      <c r="AS161" s="93">
        <v>9.5</v>
      </c>
      <c r="AT161" s="96">
        <v>33.299999999999997</v>
      </c>
      <c r="AU161" s="96">
        <v>3.6</v>
      </c>
      <c r="AV161" s="99">
        <v>419</v>
      </c>
      <c r="AW161" s="98">
        <v>37</v>
      </c>
      <c r="AX161" s="98">
        <v>160</v>
      </c>
      <c r="AY161" s="98">
        <v>14</v>
      </c>
      <c r="AZ161" s="98">
        <v>768</v>
      </c>
      <c r="BA161" s="98">
        <v>71</v>
      </c>
      <c r="BB161" s="98">
        <v>139</v>
      </c>
      <c r="BC161" s="98">
        <v>13</v>
      </c>
      <c r="BD161" s="98">
        <v>1200</v>
      </c>
      <c r="BE161" s="98">
        <v>140</v>
      </c>
      <c r="BF161" s="98">
        <v>231</v>
      </c>
      <c r="BG161" s="98">
        <v>26</v>
      </c>
      <c r="BI161" s="93">
        <v>3.3</v>
      </c>
      <c r="BJ161" s="98">
        <v>2.7</v>
      </c>
      <c r="BK161" s="98">
        <v>549000</v>
      </c>
      <c r="BL161" s="98">
        <v>41000</v>
      </c>
      <c r="BM161" s="98">
        <v>9550</v>
      </c>
      <c r="BN161" s="98">
        <v>840</v>
      </c>
      <c r="BO161" s="99">
        <v>69.7</v>
      </c>
      <c r="BP161" s="98">
        <v>6.5</v>
      </c>
      <c r="BQ161" s="99">
        <v>101.9</v>
      </c>
      <c r="BR161" s="98">
        <v>9.4</v>
      </c>
      <c r="BT161" s="95">
        <f t="shared" si="146"/>
        <v>8.4916666666666668E-2</v>
      </c>
      <c r="BU161" s="96">
        <f t="shared" si="147"/>
        <v>2.0217391304347827</v>
      </c>
      <c r="BV161" s="96">
        <f t="shared" si="148"/>
        <v>57.486910994764401</v>
      </c>
      <c r="BW161" s="96">
        <f t="shared" si="149"/>
        <v>0.68400392541707555</v>
      </c>
      <c r="BX161" s="99">
        <f>CK161/SQRT(CJ161*CL161)</f>
        <v>42.160384877478101</v>
      </c>
      <c r="BY161" s="96">
        <f t="shared" si="150"/>
        <v>2.0217391304347827</v>
      </c>
      <c r="BZ161" s="97">
        <f t="shared" si="151"/>
        <v>4.4630002879355029E-4</v>
      </c>
      <c r="CA161" s="95">
        <f t="shared" si="152"/>
        <v>0.18309362034949461</v>
      </c>
      <c r="CB161" s="99">
        <f t="shared" si="157"/>
        <v>166.76318328644419</v>
      </c>
      <c r="CC161" s="99">
        <f t="shared" si="157"/>
        <v>15.383453610329493</v>
      </c>
      <c r="CD161" s="100">
        <f t="shared" si="153"/>
        <v>674.05378391487875</v>
      </c>
      <c r="CE161" s="100">
        <f t="shared" si="156"/>
        <v>708.1528956505075</v>
      </c>
      <c r="CF161" s="100">
        <f t="shared" si="154"/>
        <v>73.578969985970687</v>
      </c>
      <c r="CG161" s="96">
        <f>2.28+3.99*LOG(AH161/((CB161*BI161)^(1/2)))</f>
        <v>0.67672180228696899</v>
      </c>
      <c r="CH161" s="96">
        <f t="shared" si="129"/>
        <v>0.89393747164752302</v>
      </c>
      <c r="CJ161" s="95">
        <f>AF161/CJ$4</f>
        <v>6.3291139240506333E-2</v>
      </c>
      <c r="CK161" s="93">
        <f t="shared" si="133"/>
        <v>15.19607843137255</v>
      </c>
      <c r="CL161" s="93">
        <f t="shared" si="134"/>
        <v>2.0526315789473686</v>
      </c>
      <c r="CM161" s="93">
        <f t="shared" si="135"/>
        <v>9.8501070663811543</v>
      </c>
      <c r="CN161" s="93">
        <f t="shared" si="136"/>
        <v>77.124183006535958</v>
      </c>
      <c r="CO161" s="93">
        <f t="shared" si="137"/>
        <v>32.586206896551722</v>
      </c>
      <c r="CP161" s="93">
        <f t="shared" si="138"/>
        <v>410.70559610705601</v>
      </c>
      <c r="CQ161" s="93">
        <f t="shared" si="139"/>
        <v>890.37433155080203</v>
      </c>
      <c r="CR161" s="93">
        <f t="shared" si="140"/>
        <v>1649.6062992125985</v>
      </c>
      <c r="CS161" s="93">
        <f t="shared" si="141"/>
        <v>2826.8551236749117</v>
      </c>
      <c r="CT161" s="93">
        <f t="shared" si="142"/>
        <v>4640.4833836858006</v>
      </c>
      <c r="CU161" s="93">
        <f t="shared" si="143"/>
        <v>5450.9803921568628</v>
      </c>
      <c r="CV161" s="93">
        <f t="shared" si="144"/>
        <v>7058.823529411764</v>
      </c>
      <c r="CW161" s="93">
        <f t="shared" si="145"/>
        <v>9094.4881889763783</v>
      </c>
    </row>
    <row r="162" spans="1:101" s="98" customFormat="1">
      <c r="A162" s="3" t="s">
        <v>390</v>
      </c>
      <c r="B162" s="3" t="s">
        <v>268</v>
      </c>
      <c r="C162" s="3"/>
      <c r="D162" s="93">
        <v>7.15</v>
      </c>
      <c r="E162" s="94">
        <v>0.1852</v>
      </c>
      <c r="F162" s="94">
        <v>1.1000000000000001E-3</v>
      </c>
      <c r="G162" s="95">
        <v>13.385</v>
      </c>
      <c r="H162" s="96">
        <v>0.33</v>
      </c>
      <c r="I162" s="97">
        <v>0.52529999999999999</v>
      </c>
      <c r="J162" s="95">
        <v>1.0999999999999999E-2</v>
      </c>
      <c r="K162" s="96">
        <v>0.43935000000000002</v>
      </c>
      <c r="M162" s="99">
        <v>2721.5</v>
      </c>
      <c r="N162" s="98">
        <v>48</v>
      </c>
      <c r="O162" s="99">
        <v>2702.8</v>
      </c>
      <c r="P162" s="98">
        <v>6.1</v>
      </c>
      <c r="Q162" s="93">
        <v>-0.69</v>
      </c>
      <c r="R162" s="97">
        <v>1.0000000000000001E-5</v>
      </c>
      <c r="T162" s="98">
        <v>520</v>
      </c>
      <c r="U162" s="98">
        <v>180</v>
      </c>
      <c r="V162" s="98">
        <v>0.7</v>
      </c>
      <c r="W162" s="98">
        <v>1.1000000000000001</v>
      </c>
      <c r="X162" s="98">
        <v>0.24</v>
      </c>
      <c r="Y162" s="98">
        <v>0.18</v>
      </c>
      <c r="Z162" s="98">
        <v>8.3000000000000007</v>
      </c>
      <c r="AA162" s="98">
        <v>1.2</v>
      </c>
      <c r="AB162" s="98">
        <v>2.4500000000000002</v>
      </c>
      <c r="AC162" s="98">
        <v>0.56000000000000005</v>
      </c>
      <c r="AD162" s="98">
        <v>1890</v>
      </c>
      <c r="AE162" s="98">
        <v>180</v>
      </c>
      <c r="AF162" s="95">
        <v>0.61</v>
      </c>
      <c r="AG162" s="97">
        <v>0.15</v>
      </c>
      <c r="AH162" s="96">
        <v>9.5</v>
      </c>
      <c r="AI162" s="96">
        <v>1.8</v>
      </c>
      <c r="AJ162" s="95">
        <v>0.33100000000000002</v>
      </c>
      <c r="AK162" s="95">
        <v>8.6999999999999994E-2</v>
      </c>
      <c r="AL162" s="96">
        <v>2.8</v>
      </c>
      <c r="AM162" s="96">
        <v>1.1000000000000001</v>
      </c>
      <c r="AN162" s="96">
        <v>4.0999999999999996</v>
      </c>
      <c r="AO162" s="96">
        <v>1.4</v>
      </c>
      <c r="AP162" s="96">
        <v>0.83</v>
      </c>
      <c r="AQ162" s="96">
        <v>0.3</v>
      </c>
      <c r="AR162" s="96">
        <v>33</v>
      </c>
      <c r="AS162" s="93">
        <v>4.9000000000000004</v>
      </c>
      <c r="AT162" s="96">
        <v>12.6</v>
      </c>
      <c r="AU162" s="96">
        <v>1.8</v>
      </c>
      <c r="AV162" s="99">
        <v>174</v>
      </c>
      <c r="AW162" s="98">
        <v>16</v>
      </c>
      <c r="AX162" s="98">
        <v>68.599999999999994</v>
      </c>
      <c r="AY162" s="98">
        <v>6.7</v>
      </c>
      <c r="AZ162" s="98">
        <v>338</v>
      </c>
      <c r="BA162" s="98">
        <v>38</v>
      </c>
      <c r="BB162" s="98">
        <v>64.3</v>
      </c>
      <c r="BC162" s="98">
        <v>7.3</v>
      </c>
      <c r="BD162" s="98">
        <v>566</v>
      </c>
      <c r="BE162" s="98">
        <v>67</v>
      </c>
      <c r="BF162" s="98">
        <v>112</v>
      </c>
      <c r="BG162" s="98">
        <v>13</v>
      </c>
      <c r="BI162" s="93">
        <v>5.7</v>
      </c>
      <c r="BJ162" s="98">
        <v>2.5</v>
      </c>
      <c r="BK162" s="98">
        <v>600000</v>
      </c>
      <c r="BL162" s="98">
        <v>63000</v>
      </c>
      <c r="BM162" s="98">
        <v>10900</v>
      </c>
      <c r="BN162" s="98">
        <v>1400</v>
      </c>
      <c r="BO162" s="99">
        <v>51.1</v>
      </c>
      <c r="BP162" s="98">
        <v>4.2</v>
      </c>
      <c r="BQ162" s="99">
        <v>78.2</v>
      </c>
      <c r="BR162" s="98">
        <v>6.7</v>
      </c>
      <c r="BT162" s="95">
        <f t="shared" si="146"/>
        <v>0.13816254416961132</v>
      </c>
      <c r="BU162" s="96">
        <f t="shared" si="147"/>
        <v>3.3928571428571432</v>
      </c>
      <c r="BV162" s="96">
        <f t="shared" si="148"/>
        <v>55.045871559633028</v>
      </c>
      <c r="BW162" s="96">
        <f t="shared" si="149"/>
        <v>0.65345268542199486</v>
      </c>
      <c r="BX162" s="99">
        <f>CK162/SQRT(CJ162*CL162)</f>
        <v>5.1835733024180408</v>
      </c>
      <c r="BY162" s="96">
        <f t="shared" si="150"/>
        <v>3.3928571428571432</v>
      </c>
      <c r="BZ162" s="97">
        <f t="shared" si="151"/>
        <v>1.7951625094482239E-3</v>
      </c>
      <c r="CA162" s="95">
        <f t="shared" si="152"/>
        <v>0.21814880034204126</v>
      </c>
      <c r="CB162" s="99">
        <f t="shared" si="157"/>
        <v>127.97724173699642</v>
      </c>
      <c r="CC162" s="99">
        <f t="shared" si="157"/>
        <v>10.964802041405063</v>
      </c>
      <c r="CD162" s="100">
        <f t="shared" si="153"/>
        <v>720.60046733787181</v>
      </c>
      <c r="CE162" s="100">
        <f t="shared" si="156"/>
        <v>758.19977835130214</v>
      </c>
      <c r="CF162" s="100">
        <f t="shared" si="154"/>
        <v>44.30336585835893</v>
      </c>
      <c r="CG162" s="96">
        <f>2.28+3.99*LOG(AH162/((CB162*BI162)^(1/2)))</f>
        <v>0.46941702038745903</v>
      </c>
      <c r="CH162" s="96">
        <f t="shared" si="129"/>
        <v>0.59335374658843576</v>
      </c>
      <c r="CJ162" s="95">
        <f>AF162/CJ$4</f>
        <v>2.5738396624472575</v>
      </c>
      <c r="CK162" s="93">
        <f t="shared" si="133"/>
        <v>15.522875816993464</v>
      </c>
      <c r="CL162" s="93">
        <f t="shared" si="134"/>
        <v>3.4842105263157896</v>
      </c>
      <c r="CM162" s="93">
        <f t="shared" si="135"/>
        <v>5.9957173447537464</v>
      </c>
      <c r="CN162" s="93">
        <f t="shared" si="136"/>
        <v>26.79738562091503</v>
      </c>
      <c r="CO162" s="93">
        <f t="shared" si="137"/>
        <v>14.310344827586205</v>
      </c>
      <c r="CP162" s="93">
        <f t="shared" si="138"/>
        <v>160.58394160583941</v>
      </c>
      <c r="CQ162" s="93">
        <f t="shared" si="139"/>
        <v>336.89839572192511</v>
      </c>
      <c r="CR162" s="93">
        <f t="shared" si="140"/>
        <v>685.03937007874015</v>
      </c>
      <c r="CS162" s="93">
        <f t="shared" si="141"/>
        <v>1212.0141342756183</v>
      </c>
      <c r="CT162" s="93">
        <f t="shared" si="142"/>
        <v>2042.2960725075527</v>
      </c>
      <c r="CU162" s="93">
        <f t="shared" si="143"/>
        <v>2521.5686274509803</v>
      </c>
      <c r="CV162" s="93">
        <f t="shared" si="144"/>
        <v>3329.411764705882</v>
      </c>
      <c r="CW162" s="93">
        <f t="shared" si="145"/>
        <v>4409.4488188976384</v>
      </c>
    </row>
    <row r="163" spans="1:101" s="118" customFormat="1">
      <c r="A163" s="111" t="s">
        <v>391</v>
      </c>
      <c r="B163" s="111" t="s">
        <v>268</v>
      </c>
      <c r="C163" s="111"/>
      <c r="D163" s="113">
        <v>7.1</v>
      </c>
      <c r="E163" s="114">
        <v>0.18590000000000001</v>
      </c>
      <c r="F163" s="114">
        <v>1.9E-3</v>
      </c>
      <c r="G163" s="115">
        <v>13.04</v>
      </c>
      <c r="H163" s="116">
        <v>0.34</v>
      </c>
      <c r="I163" s="117">
        <v>0.50960000000000005</v>
      </c>
      <c r="J163" s="115">
        <v>1.0999999999999999E-2</v>
      </c>
      <c r="K163" s="116">
        <v>0.29132999999999998</v>
      </c>
      <c r="M163" s="119">
        <v>2654.9</v>
      </c>
      <c r="N163" s="118">
        <v>47</v>
      </c>
      <c r="O163" s="119">
        <v>2708</v>
      </c>
      <c r="P163" s="118">
        <v>11</v>
      </c>
      <c r="Q163" s="113">
        <v>1.97</v>
      </c>
      <c r="R163" s="117">
        <v>6.0000000000000001E-3</v>
      </c>
      <c r="T163" s="118">
        <v>590</v>
      </c>
      <c r="U163" s="118">
        <v>140</v>
      </c>
      <c r="V163" s="118">
        <v>0.1</v>
      </c>
      <c r="W163" s="118">
        <v>1.2</v>
      </c>
      <c r="X163" s="118">
        <v>0.47</v>
      </c>
      <c r="Y163" s="118">
        <v>0.4</v>
      </c>
      <c r="Z163" s="118">
        <v>4.72</v>
      </c>
      <c r="AA163" s="118">
        <v>0.8</v>
      </c>
      <c r="AB163" s="118">
        <v>1.61</v>
      </c>
      <c r="AC163" s="118">
        <v>0.43</v>
      </c>
      <c r="AD163" s="118">
        <v>1380</v>
      </c>
      <c r="AE163" s="118">
        <v>130</v>
      </c>
      <c r="AF163" s="115">
        <v>1.43</v>
      </c>
      <c r="AG163" s="117">
        <v>0.18</v>
      </c>
      <c r="AH163" s="116">
        <v>9.1</v>
      </c>
      <c r="AI163" s="116">
        <v>1.5</v>
      </c>
      <c r="AJ163" s="115">
        <v>0.67</v>
      </c>
      <c r="AK163" s="115">
        <v>0.11</v>
      </c>
      <c r="AL163" s="116">
        <v>5.8</v>
      </c>
      <c r="AM163" s="116">
        <v>1.6</v>
      </c>
      <c r="AN163" s="116">
        <v>3.7</v>
      </c>
      <c r="AO163" s="116">
        <v>1.1000000000000001</v>
      </c>
      <c r="AP163" s="116">
        <v>0.91</v>
      </c>
      <c r="AQ163" s="116">
        <v>0.28999999999999998</v>
      </c>
      <c r="AR163" s="116">
        <v>24.7</v>
      </c>
      <c r="AS163" s="113">
        <v>2.5</v>
      </c>
      <c r="AT163" s="116">
        <v>8.65</v>
      </c>
      <c r="AU163" s="116">
        <v>0.82</v>
      </c>
      <c r="AV163" s="119">
        <v>125</v>
      </c>
      <c r="AW163" s="118">
        <v>11</v>
      </c>
      <c r="AX163" s="118">
        <v>48.8</v>
      </c>
      <c r="AY163" s="118">
        <v>4.0999999999999996</v>
      </c>
      <c r="AZ163" s="118">
        <v>252</v>
      </c>
      <c r="BA163" s="118">
        <v>27</v>
      </c>
      <c r="BB163" s="118">
        <v>47.2</v>
      </c>
      <c r="BC163" s="118">
        <v>4.4000000000000004</v>
      </c>
      <c r="BD163" s="118">
        <v>421</v>
      </c>
      <c r="BE163" s="118">
        <v>33</v>
      </c>
      <c r="BF163" s="118">
        <v>83.4</v>
      </c>
      <c r="BG163" s="118">
        <v>4.5999999999999996</v>
      </c>
      <c r="BI163" s="113">
        <v>4.8</v>
      </c>
      <c r="BJ163" s="118">
        <v>2.5</v>
      </c>
      <c r="BK163" s="118">
        <v>561000</v>
      </c>
      <c r="BL163" s="118">
        <v>33000</v>
      </c>
      <c r="BM163" s="118">
        <v>9630</v>
      </c>
      <c r="BN163" s="118">
        <v>710</v>
      </c>
      <c r="BO163" s="119">
        <v>23.9</v>
      </c>
      <c r="BP163" s="118">
        <v>1.5</v>
      </c>
      <c r="BQ163" s="119">
        <v>43.2</v>
      </c>
      <c r="BR163" s="118">
        <v>2.8</v>
      </c>
      <c r="BT163" s="115"/>
      <c r="BU163" s="116"/>
      <c r="BV163" s="116"/>
      <c r="BW163" s="116"/>
      <c r="BX163" s="119"/>
      <c r="BY163" s="116"/>
      <c r="BZ163" s="117"/>
      <c r="CA163" s="115"/>
      <c r="CB163" s="99"/>
      <c r="CC163" s="99"/>
      <c r="CD163" s="120"/>
      <c r="CE163" s="100"/>
      <c r="CF163" s="100"/>
      <c r="CG163" s="116"/>
      <c r="CH163" s="96"/>
      <c r="CJ163" s="115">
        <f>AF163/CJ$4</f>
        <v>6.033755274261603</v>
      </c>
      <c r="CK163" s="113">
        <f t="shared" si="133"/>
        <v>14.869281045751634</v>
      </c>
      <c r="CL163" s="113">
        <f t="shared" si="134"/>
        <v>7.052631578947369</v>
      </c>
      <c r="CM163" s="113">
        <f t="shared" si="135"/>
        <v>12.419700214132762</v>
      </c>
      <c r="CN163" s="113">
        <f t="shared" si="136"/>
        <v>24.183006535947715</v>
      </c>
      <c r="CO163" s="113">
        <f t="shared" si="137"/>
        <v>15.689655172413794</v>
      </c>
      <c r="CP163" s="113">
        <f t="shared" si="138"/>
        <v>120.19464720194648</v>
      </c>
      <c r="CQ163" s="113">
        <f t="shared" si="139"/>
        <v>231.28342245989305</v>
      </c>
      <c r="CR163" s="113">
        <f t="shared" si="140"/>
        <v>492.12598425196848</v>
      </c>
      <c r="CS163" s="113">
        <f t="shared" si="141"/>
        <v>862.19081272084804</v>
      </c>
      <c r="CT163" s="113">
        <f t="shared" si="142"/>
        <v>1522.6586102719032</v>
      </c>
      <c r="CU163" s="113">
        <f t="shared" si="143"/>
        <v>1850.980392156863</v>
      </c>
      <c r="CV163" s="113">
        <f t="shared" si="144"/>
        <v>2476.4705882352941</v>
      </c>
      <c r="CW163" s="113">
        <f t="shared" si="145"/>
        <v>3283.4645669291344</v>
      </c>
    </row>
    <row r="164" spans="1:101" s="98" customFormat="1">
      <c r="A164" s="3" t="s">
        <v>392</v>
      </c>
      <c r="B164" s="3" t="s">
        <v>268</v>
      </c>
      <c r="C164" s="3"/>
      <c r="D164" s="93">
        <v>7.0439999999999996</v>
      </c>
      <c r="E164" s="94">
        <v>0.18410000000000001</v>
      </c>
      <c r="F164" s="94">
        <v>3.2000000000000002E-3</v>
      </c>
      <c r="G164" s="95">
        <v>13.06</v>
      </c>
      <c r="H164" s="96">
        <v>0.38</v>
      </c>
      <c r="I164" s="97">
        <v>0.51590000000000003</v>
      </c>
      <c r="J164" s="95">
        <v>1.2E-2</v>
      </c>
      <c r="K164" s="96">
        <v>9.8402000000000003E-2</v>
      </c>
      <c r="M164" s="99">
        <v>2682</v>
      </c>
      <c r="N164" s="98">
        <v>49</v>
      </c>
      <c r="O164" s="99">
        <v>2689</v>
      </c>
      <c r="P164" s="98">
        <v>19</v>
      </c>
      <c r="Q164" s="93">
        <v>0.2</v>
      </c>
      <c r="R164" s="97">
        <v>4.7999999999999996E-3</v>
      </c>
      <c r="T164" s="98">
        <v>250</v>
      </c>
      <c r="U164" s="98">
        <v>220</v>
      </c>
      <c r="V164" s="98" t="s">
        <v>250</v>
      </c>
      <c r="W164" s="98" t="s">
        <v>250</v>
      </c>
      <c r="X164" s="98">
        <v>0.17</v>
      </c>
      <c r="Y164" s="98">
        <v>0.15</v>
      </c>
      <c r="Z164" s="98">
        <v>3.36</v>
      </c>
      <c r="AA164" s="98">
        <v>0.62</v>
      </c>
      <c r="AB164" s="98">
        <v>1.08</v>
      </c>
      <c r="AC164" s="98">
        <v>0.41</v>
      </c>
      <c r="AD164" s="98">
        <v>941</v>
      </c>
      <c r="AE164" s="98">
        <v>75</v>
      </c>
      <c r="AF164" s="95" t="s">
        <v>250</v>
      </c>
      <c r="AG164" s="97" t="s">
        <v>250</v>
      </c>
      <c r="AH164" s="96">
        <v>2.79</v>
      </c>
      <c r="AI164" s="96">
        <v>0.52</v>
      </c>
      <c r="AJ164" s="95">
        <v>1.4999999999999999E-2</v>
      </c>
      <c r="AK164" s="95">
        <v>1.4E-2</v>
      </c>
      <c r="AL164" s="96">
        <v>0.55000000000000004</v>
      </c>
      <c r="AM164" s="96">
        <v>0.39</v>
      </c>
      <c r="AN164" s="96">
        <v>1.24</v>
      </c>
      <c r="AO164" s="96">
        <v>0.57999999999999996</v>
      </c>
      <c r="AP164" s="96">
        <v>0.38</v>
      </c>
      <c r="AQ164" s="96">
        <v>0.11</v>
      </c>
      <c r="AR164" s="96">
        <v>12.7</v>
      </c>
      <c r="AS164" s="93">
        <v>3</v>
      </c>
      <c r="AT164" s="96">
        <v>5.2</v>
      </c>
      <c r="AU164" s="96">
        <v>0.59</v>
      </c>
      <c r="AV164" s="99">
        <v>77</v>
      </c>
      <c r="AW164" s="98">
        <v>9.9</v>
      </c>
      <c r="AX164" s="98">
        <v>31.5</v>
      </c>
      <c r="AY164" s="98">
        <v>2.8</v>
      </c>
      <c r="AZ164" s="98">
        <v>158</v>
      </c>
      <c r="BA164" s="98">
        <v>17</v>
      </c>
      <c r="BB164" s="98">
        <v>33.4</v>
      </c>
      <c r="BC164" s="98">
        <v>4.5</v>
      </c>
      <c r="BD164" s="98">
        <v>310</v>
      </c>
      <c r="BE164" s="98">
        <v>39</v>
      </c>
      <c r="BF164" s="98">
        <v>62.4</v>
      </c>
      <c r="BG164" s="98">
        <v>4.9000000000000004</v>
      </c>
      <c r="BI164" s="93">
        <v>5.6</v>
      </c>
      <c r="BJ164" s="98">
        <v>3.1</v>
      </c>
      <c r="BK164" s="98">
        <v>568000</v>
      </c>
      <c r="BL164" s="98">
        <v>54000</v>
      </c>
      <c r="BM164" s="98">
        <v>9500</v>
      </c>
      <c r="BN164" s="98">
        <v>950</v>
      </c>
      <c r="BO164" s="99">
        <v>10.55</v>
      </c>
      <c r="BP164" s="98">
        <v>0.81</v>
      </c>
      <c r="BQ164" s="99">
        <v>26.9</v>
      </c>
      <c r="BR164" s="98">
        <v>2.1</v>
      </c>
      <c r="BT164" s="95">
        <f t="shared" si="146"/>
        <v>8.6774193548387099E-2</v>
      </c>
      <c r="BU164" s="96">
        <f t="shared" si="147"/>
        <v>5.0727272727272723</v>
      </c>
      <c r="BV164" s="96">
        <f t="shared" si="148"/>
        <v>59.789473684210527</v>
      </c>
      <c r="BW164" s="96">
        <f t="shared" si="149"/>
        <v>0.39219330855018592</v>
      </c>
      <c r="BX164" s="99"/>
      <c r="BY164" s="96">
        <f t="shared" si="150"/>
        <v>5.0727272727272723</v>
      </c>
      <c r="BZ164" s="97">
        <f t="shared" si="151"/>
        <v>5.390783499178823E-3</v>
      </c>
      <c r="CA164" s="95">
        <f t="shared" si="152"/>
        <v>0.29274839890187543</v>
      </c>
      <c r="CB164" s="99">
        <f t="shared" si="157"/>
        <v>44.022861927432267</v>
      </c>
      <c r="CC164" s="99">
        <f t="shared" si="157"/>
        <v>3.4367289980523337</v>
      </c>
      <c r="CD164" s="100">
        <f t="shared" si="153"/>
        <v>719.02151121268412</v>
      </c>
      <c r="CE164" s="100">
        <f t="shared" si="156"/>
        <v>756.4991820815161</v>
      </c>
      <c r="CF164" s="100">
        <f t="shared" si="154"/>
        <v>55.082353027593271</v>
      </c>
      <c r="CG164" s="96">
        <f t="shared" ref="CG164:CG170" si="158">2.28+3.99*LOG(AH164/((CB164*BI164)^(1/2)))</f>
        <v>-0.71381249671454627</v>
      </c>
      <c r="CH164" s="96">
        <f t="shared" si="129"/>
        <v>0.64968907991921776</v>
      </c>
      <c r="CJ164" s="95"/>
      <c r="CK164" s="93">
        <f t="shared" si="133"/>
        <v>4.5588235294117645</v>
      </c>
      <c r="CL164" s="93">
        <f t="shared" si="134"/>
        <v>0.15789473684210525</v>
      </c>
      <c r="CM164" s="93">
        <f t="shared" si="135"/>
        <v>1.1777301927194861</v>
      </c>
      <c r="CN164" s="93">
        <f t="shared" si="136"/>
        <v>8.1045751633986924</v>
      </c>
      <c r="CO164" s="93">
        <f t="shared" si="137"/>
        <v>6.5517241379310338</v>
      </c>
      <c r="CP164" s="93">
        <f t="shared" si="138"/>
        <v>61.800486618004868</v>
      </c>
      <c r="CQ164" s="93">
        <f t="shared" si="139"/>
        <v>139.03743315508021</v>
      </c>
      <c r="CR164" s="93">
        <f t="shared" si="140"/>
        <v>303.14960629921262</v>
      </c>
      <c r="CS164" s="93">
        <f t="shared" si="141"/>
        <v>556.53710247349829</v>
      </c>
      <c r="CT164" s="93">
        <f t="shared" si="142"/>
        <v>954.68277945619332</v>
      </c>
      <c r="CU164" s="93">
        <f t="shared" si="143"/>
        <v>1309.8039215686274</v>
      </c>
      <c r="CV164" s="93">
        <f t="shared" si="144"/>
        <v>1823.5294117647059</v>
      </c>
      <c r="CW164" s="93">
        <f t="shared" si="145"/>
        <v>2456.6929133858266</v>
      </c>
    </row>
    <row r="165" spans="1:101" s="98" customFormat="1">
      <c r="A165" s="3" t="s">
        <v>393</v>
      </c>
      <c r="B165" s="3" t="s">
        <v>268</v>
      </c>
      <c r="C165" s="3"/>
      <c r="D165" s="93">
        <v>7.0380000000000003</v>
      </c>
      <c r="E165" s="94">
        <v>0.18179999999999999</v>
      </c>
      <c r="F165" s="94">
        <v>2.5000000000000001E-3</v>
      </c>
      <c r="G165" s="95">
        <v>12.81</v>
      </c>
      <c r="H165" s="96">
        <v>0.34</v>
      </c>
      <c r="I165" s="97">
        <v>0.51519999999999999</v>
      </c>
      <c r="J165" s="95">
        <v>1.2E-2</v>
      </c>
      <c r="K165" s="96">
        <v>0.58103000000000005</v>
      </c>
      <c r="M165" s="99">
        <v>2679</v>
      </c>
      <c r="N165" s="98">
        <v>49</v>
      </c>
      <c r="O165" s="99">
        <v>2671</v>
      </c>
      <c r="P165" s="98">
        <v>16</v>
      </c>
      <c r="Q165" s="93">
        <v>-0.31</v>
      </c>
      <c r="R165" s="97">
        <v>1.9E-3</v>
      </c>
      <c r="T165" s="98">
        <v>360</v>
      </c>
      <c r="U165" s="98">
        <v>180</v>
      </c>
      <c r="V165" s="98" t="s">
        <v>250</v>
      </c>
      <c r="W165" s="98" t="s">
        <v>250</v>
      </c>
      <c r="X165" s="98">
        <v>0.17</v>
      </c>
      <c r="Y165" s="98">
        <v>0.2</v>
      </c>
      <c r="Z165" s="98">
        <v>3.33</v>
      </c>
      <c r="AA165" s="98">
        <v>0.98</v>
      </c>
      <c r="AB165" s="98">
        <v>1.08</v>
      </c>
      <c r="AC165" s="98">
        <v>0.37</v>
      </c>
      <c r="AD165" s="98">
        <v>2290</v>
      </c>
      <c r="AE165" s="98">
        <v>270</v>
      </c>
      <c r="AF165" s="95" t="s">
        <v>250</v>
      </c>
      <c r="AG165" s="97" t="s">
        <v>250</v>
      </c>
      <c r="AH165" s="96">
        <v>4.0999999999999996</v>
      </c>
      <c r="AI165" s="96">
        <v>0.56999999999999995</v>
      </c>
      <c r="AJ165" s="95">
        <v>9.4E-2</v>
      </c>
      <c r="AK165" s="95">
        <v>3.7999999999999999E-2</v>
      </c>
      <c r="AL165" s="96">
        <v>2.71</v>
      </c>
      <c r="AM165" s="96">
        <v>0.65</v>
      </c>
      <c r="AN165" s="96">
        <v>6.3</v>
      </c>
      <c r="AO165" s="96">
        <v>1.7</v>
      </c>
      <c r="AP165" s="96">
        <v>1.1100000000000001</v>
      </c>
      <c r="AQ165" s="96">
        <v>0.28999999999999998</v>
      </c>
      <c r="AR165" s="96">
        <v>53.6</v>
      </c>
      <c r="AS165" s="93">
        <v>8</v>
      </c>
      <c r="AT165" s="96">
        <v>18.5</v>
      </c>
      <c r="AU165" s="96">
        <v>2.1</v>
      </c>
      <c r="AV165" s="99">
        <v>248</v>
      </c>
      <c r="AW165" s="98">
        <v>25</v>
      </c>
      <c r="AX165" s="98">
        <v>92.1</v>
      </c>
      <c r="AY165" s="98">
        <v>9.1</v>
      </c>
      <c r="AZ165" s="98">
        <v>413</v>
      </c>
      <c r="BA165" s="98">
        <v>37</v>
      </c>
      <c r="BB165" s="98">
        <v>81.099999999999994</v>
      </c>
      <c r="BC165" s="98">
        <v>7.8</v>
      </c>
      <c r="BD165" s="98">
        <v>720</v>
      </c>
      <c r="BE165" s="98">
        <v>58</v>
      </c>
      <c r="BF165" s="98">
        <v>139</v>
      </c>
      <c r="BG165" s="98">
        <v>12</v>
      </c>
      <c r="BI165" s="93">
        <v>5.0999999999999996</v>
      </c>
      <c r="BJ165" s="98">
        <v>1.4</v>
      </c>
      <c r="BK165" s="98">
        <v>534000</v>
      </c>
      <c r="BL165" s="98">
        <v>53000</v>
      </c>
      <c r="BM165" s="98">
        <v>8650</v>
      </c>
      <c r="BN165" s="98">
        <v>540</v>
      </c>
      <c r="BO165" s="99">
        <v>27</v>
      </c>
      <c r="BP165" s="98">
        <v>3.6</v>
      </c>
      <c r="BQ165" s="99">
        <v>46</v>
      </c>
      <c r="BR165" s="98">
        <v>5.2</v>
      </c>
      <c r="BT165" s="95">
        <f t="shared" si="146"/>
        <v>6.3888888888888884E-2</v>
      </c>
      <c r="BU165" s="96">
        <f t="shared" si="147"/>
        <v>1.5129151291512914</v>
      </c>
      <c r="BV165" s="96">
        <f t="shared" si="148"/>
        <v>61.734104046242777</v>
      </c>
      <c r="BW165" s="96">
        <f t="shared" si="149"/>
        <v>0.58695652173913049</v>
      </c>
      <c r="BX165" s="99"/>
      <c r="BY165" s="96">
        <f t="shared" si="150"/>
        <v>1.5129151291512914</v>
      </c>
      <c r="BZ165" s="97">
        <f t="shared" si="151"/>
        <v>6.6066162845034558E-4</v>
      </c>
      <c r="CA165" s="95">
        <f t="shared" si="152"/>
        <v>0.18466897734273857</v>
      </c>
      <c r="CB165" s="99">
        <f t="shared" si="157"/>
        <v>75.280730433527296</v>
      </c>
      <c r="CC165" s="99">
        <f t="shared" si="157"/>
        <v>8.5099956142248256</v>
      </c>
      <c r="CD165" s="100">
        <f t="shared" si="153"/>
        <v>710.76078596039724</v>
      </c>
      <c r="CE165" s="100">
        <f t="shared" si="156"/>
        <v>747.60539625019237</v>
      </c>
      <c r="CF165" s="100">
        <f t="shared" si="154"/>
        <v>28.532065094584002</v>
      </c>
      <c r="CG165" s="96">
        <f t="shared" si="158"/>
        <v>-0.43057914250240525</v>
      </c>
      <c r="CH165" s="96">
        <f t="shared" si="129"/>
        <v>0.40606011202639347</v>
      </c>
      <c r="CJ165" s="95"/>
      <c r="CK165" s="93">
        <f t="shared" si="133"/>
        <v>6.6993464052287575</v>
      </c>
      <c r="CL165" s="93">
        <f t="shared" si="134"/>
        <v>0.98947368421052628</v>
      </c>
      <c r="CM165" s="93">
        <f t="shared" si="135"/>
        <v>5.8029978586723763</v>
      </c>
      <c r="CN165" s="93">
        <f t="shared" si="136"/>
        <v>41.176470588235297</v>
      </c>
      <c r="CO165" s="93">
        <f t="shared" si="137"/>
        <v>19.137931034482758</v>
      </c>
      <c r="CP165" s="93">
        <f t="shared" si="138"/>
        <v>260.82725060827255</v>
      </c>
      <c r="CQ165" s="93">
        <f t="shared" si="139"/>
        <v>494.65240641711227</v>
      </c>
      <c r="CR165" s="93">
        <f t="shared" si="140"/>
        <v>976.37795275590554</v>
      </c>
      <c r="CS165" s="93">
        <f t="shared" si="141"/>
        <v>1627.208480565371</v>
      </c>
      <c r="CT165" s="93">
        <f t="shared" si="142"/>
        <v>2495.4682779456193</v>
      </c>
      <c r="CU165" s="93">
        <f t="shared" si="143"/>
        <v>3180.3921568627452</v>
      </c>
      <c r="CV165" s="93">
        <f t="shared" si="144"/>
        <v>4235.2941176470586</v>
      </c>
      <c r="CW165" s="93">
        <f t="shared" si="145"/>
        <v>5472.4409448818897</v>
      </c>
    </row>
    <row r="166" spans="1:101" s="98" customFormat="1">
      <c r="A166" s="3" t="s">
        <v>394</v>
      </c>
      <c r="B166" s="3" t="s">
        <v>268</v>
      </c>
      <c r="C166" s="3"/>
      <c r="D166" s="93">
        <v>7.0430000000000001</v>
      </c>
      <c r="E166" s="94">
        <v>0.1835</v>
      </c>
      <c r="F166" s="94">
        <v>4.1000000000000003E-3</v>
      </c>
      <c r="G166" s="95">
        <v>12.96</v>
      </c>
      <c r="H166" s="96">
        <v>0.39</v>
      </c>
      <c r="I166" s="97">
        <v>0.51349999999999996</v>
      </c>
      <c r="J166" s="95">
        <v>1.2E-2</v>
      </c>
      <c r="K166" s="96">
        <v>-0.26813999999999999</v>
      </c>
      <c r="M166" s="99">
        <v>2671</v>
      </c>
      <c r="N166" s="98">
        <v>49</v>
      </c>
      <c r="O166" s="99">
        <v>2681</v>
      </c>
      <c r="P166" s="98">
        <v>24</v>
      </c>
      <c r="Q166" s="93">
        <v>0.3</v>
      </c>
      <c r="R166" s="97">
        <v>5.8999999999999999E-3</v>
      </c>
      <c r="T166" s="98">
        <v>160</v>
      </c>
      <c r="U166" s="98">
        <v>120</v>
      </c>
      <c r="V166" s="98" t="s">
        <v>250</v>
      </c>
      <c r="W166" s="98" t="s">
        <v>250</v>
      </c>
      <c r="X166" s="98">
        <v>0.2</v>
      </c>
      <c r="Y166" s="98">
        <v>0.18</v>
      </c>
      <c r="Z166" s="98">
        <v>2.02</v>
      </c>
      <c r="AA166" s="98">
        <v>0.66</v>
      </c>
      <c r="AB166" s="98">
        <v>1.05</v>
      </c>
      <c r="AC166" s="98">
        <v>0.56000000000000005</v>
      </c>
      <c r="AD166" s="98">
        <v>713</v>
      </c>
      <c r="AE166" s="98">
        <v>67</v>
      </c>
      <c r="AF166" s="95" t="s">
        <v>250</v>
      </c>
      <c r="AG166" s="97" t="s">
        <v>250</v>
      </c>
      <c r="AH166" s="96">
        <v>2.58</v>
      </c>
      <c r="AI166" s="96">
        <v>0.8</v>
      </c>
      <c r="AJ166" s="95">
        <v>3.0999999999999999E-3</v>
      </c>
      <c r="AK166" s="95">
        <v>7.1000000000000004E-3</v>
      </c>
      <c r="AL166" s="96">
        <v>0.14000000000000001</v>
      </c>
      <c r="AM166" s="96">
        <v>0.19</v>
      </c>
      <c r="AN166" s="96">
        <v>1.64</v>
      </c>
      <c r="AO166" s="96">
        <v>0.66</v>
      </c>
      <c r="AP166" s="96">
        <v>0.44</v>
      </c>
      <c r="AQ166" s="96">
        <v>0.25</v>
      </c>
      <c r="AR166" s="96">
        <v>10.8</v>
      </c>
      <c r="AS166" s="93">
        <v>2.2999999999999998</v>
      </c>
      <c r="AT166" s="96">
        <v>4.2</v>
      </c>
      <c r="AU166" s="96">
        <v>0.81</v>
      </c>
      <c r="AV166" s="99">
        <v>57.3</v>
      </c>
      <c r="AW166" s="98">
        <v>6.8</v>
      </c>
      <c r="AX166" s="98">
        <v>23.6</v>
      </c>
      <c r="AY166" s="98">
        <v>2.9</v>
      </c>
      <c r="AZ166" s="98">
        <v>130</v>
      </c>
      <c r="BA166" s="98">
        <v>18</v>
      </c>
      <c r="BB166" s="98">
        <v>25.4</v>
      </c>
      <c r="BC166" s="98">
        <v>2.9</v>
      </c>
      <c r="BD166" s="98">
        <v>235</v>
      </c>
      <c r="BE166" s="98">
        <v>29</v>
      </c>
      <c r="BF166" s="98">
        <v>51.6</v>
      </c>
      <c r="BG166" s="98">
        <v>7.2</v>
      </c>
      <c r="BI166" s="93">
        <v>8.1</v>
      </c>
      <c r="BJ166" s="98">
        <v>3.7</v>
      </c>
      <c r="BK166" s="98">
        <v>581000</v>
      </c>
      <c r="BL166" s="98">
        <v>59000</v>
      </c>
      <c r="BM166" s="98">
        <v>9600</v>
      </c>
      <c r="BN166" s="98">
        <v>1100</v>
      </c>
      <c r="BO166" s="99">
        <v>6.38</v>
      </c>
      <c r="BP166" s="98">
        <v>0.61</v>
      </c>
      <c r="BQ166" s="99">
        <v>17.600000000000001</v>
      </c>
      <c r="BR166" s="98">
        <v>1.8</v>
      </c>
      <c r="BT166" s="95">
        <f t="shared" si="146"/>
        <v>7.4893617021276601E-2</v>
      </c>
      <c r="BU166" s="96">
        <f t="shared" si="147"/>
        <v>18.428571428571427</v>
      </c>
      <c r="BV166" s="96">
        <f t="shared" si="148"/>
        <v>60.520833333333336</v>
      </c>
      <c r="BW166" s="96">
        <f t="shared" si="149"/>
        <v>0.36249999999999999</v>
      </c>
      <c r="BX166" s="99"/>
      <c r="BY166" s="96">
        <f t="shared" si="150"/>
        <v>18.428571428571427</v>
      </c>
      <c r="BZ166" s="97">
        <f t="shared" si="151"/>
        <v>2.5846523742736924E-2</v>
      </c>
      <c r="CA166" s="95">
        <f t="shared" si="152"/>
        <v>0.31962630165492983</v>
      </c>
      <c r="CB166" s="99">
        <f t="shared" si="157"/>
        <v>28.803062078914795</v>
      </c>
      <c r="CC166" s="99">
        <f t="shared" si="157"/>
        <v>2.945767712616286</v>
      </c>
      <c r="CD166" s="100">
        <f t="shared" si="153"/>
        <v>753.02247674595503</v>
      </c>
      <c r="CE166" s="100">
        <f t="shared" si="156"/>
        <v>793.16478623321461</v>
      </c>
      <c r="CF166" s="100">
        <f t="shared" si="154"/>
        <v>48.94524280830116</v>
      </c>
      <c r="CG166" s="96">
        <f t="shared" si="158"/>
        <v>-0.80164511345287304</v>
      </c>
      <c r="CH166" s="96">
        <f t="shared" si="129"/>
        <v>0.76447528522208419</v>
      </c>
      <c r="CJ166" s="95"/>
      <c r="CK166" s="93">
        <f t="shared" si="133"/>
        <v>4.215686274509804</v>
      </c>
      <c r="CL166" s="93">
        <f t="shared" si="134"/>
        <v>3.2631578947368421E-2</v>
      </c>
      <c r="CM166" s="93">
        <f t="shared" si="135"/>
        <v>0.29978586723768735</v>
      </c>
      <c r="CN166" s="93">
        <f t="shared" si="136"/>
        <v>10.718954248366012</v>
      </c>
      <c r="CO166" s="93">
        <f t="shared" si="137"/>
        <v>7.5862068965517242</v>
      </c>
      <c r="CP166" s="93">
        <f t="shared" si="138"/>
        <v>52.554744525547449</v>
      </c>
      <c r="CQ166" s="93">
        <f t="shared" si="139"/>
        <v>112.29946524064171</v>
      </c>
      <c r="CR166" s="93">
        <f t="shared" si="140"/>
        <v>225.59055118110234</v>
      </c>
      <c r="CS166" s="93">
        <f t="shared" si="141"/>
        <v>416.96113074204953</v>
      </c>
      <c r="CT166" s="93">
        <f t="shared" si="142"/>
        <v>785.4984894259818</v>
      </c>
      <c r="CU166" s="93">
        <f t="shared" si="143"/>
        <v>996.07843137254906</v>
      </c>
      <c r="CV166" s="93">
        <f t="shared" si="144"/>
        <v>1382.3529411764705</v>
      </c>
      <c r="CW166" s="93">
        <f t="shared" si="145"/>
        <v>2031.4960629921261</v>
      </c>
    </row>
    <row r="167" spans="1:101" s="98" customFormat="1">
      <c r="A167" s="3" t="s">
        <v>395</v>
      </c>
      <c r="B167" s="3" t="s">
        <v>268</v>
      </c>
      <c r="C167" s="3"/>
      <c r="D167" s="93">
        <v>7.0860000000000003</v>
      </c>
      <c r="E167" s="94">
        <v>0.18479999999999999</v>
      </c>
      <c r="F167" s="94">
        <v>1.2999999999999999E-3</v>
      </c>
      <c r="G167" s="95">
        <v>13.38</v>
      </c>
      <c r="H167" s="96">
        <v>0.34</v>
      </c>
      <c r="I167" s="97">
        <v>0.52529999999999999</v>
      </c>
      <c r="J167" s="95">
        <v>1.0999999999999999E-2</v>
      </c>
      <c r="K167" s="96">
        <v>0.92901999999999996</v>
      </c>
      <c r="M167" s="99">
        <v>2722</v>
      </c>
      <c r="N167" s="98">
        <v>49</v>
      </c>
      <c r="O167" s="99">
        <v>2700</v>
      </c>
      <c r="P167" s="98">
        <v>3.7</v>
      </c>
      <c r="Q167" s="93">
        <v>-0.8</v>
      </c>
      <c r="R167" s="97">
        <v>-8.0000000000000004E-4</v>
      </c>
      <c r="T167" s="98">
        <v>510</v>
      </c>
      <c r="U167" s="98">
        <v>200</v>
      </c>
      <c r="V167" s="98" t="s">
        <v>250</v>
      </c>
      <c r="W167" s="98" t="s">
        <v>250</v>
      </c>
      <c r="X167" s="98">
        <v>0.25</v>
      </c>
      <c r="Y167" s="98">
        <v>0.2</v>
      </c>
      <c r="Z167" s="98">
        <v>14.8</v>
      </c>
      <c r="AA167" s="98">
        <v>2.2000000000000002</v>
      </c>
      <c r="AB167" s="98">
        <v>4.5999999999999996</v>
      </c>
      <c r="AC167" s="98">
        <v>0.84</v>
      </c>
      <c r="AD167" s="98">
        <v>3030</v>
      </c>
      <c r="AE167" s="98">
        <v>260</v>
      </c>
      <c r="AF167" s="95" t="s">
        <v>250</v>
      </c>
      <c r="AG167" s="97" t="s">
        <v>250</v>
      </c>
      <c r="AH167" s="96">
        <v>18.7</v>
      </c>
      <c r="AI167" s="96">
        <v>2.5</v>
      </c>
      <c r="AJ167" s="95">
        <v>0.13</v>
      </c>
      <c r="AK167" s="95">
        <v>5.7000000000000002E-2</v>
      </c>
      <c r="AL167" s="96">
        <v>1.52</v>
      </c>
      <c r="AM167" s="96">
        <v>0.56999999999999995</v>
      </c>
      <c r="AN167" s="96">
        <v>5.8</v>
      </c>
      <c r="AO167" s="96">
        <v>1.5</v>
      </c>
      <c r="AP167" s="96">
        <v>1.06</v>
      </c>
      <c r="AQ167" s="96">
        <v>0.3</v>
      </c>
      <c r="AR167" s="96">
        <v>49.1</v>
      </c>
      <c r="AS167" s="93">
        <v>5.0999999999999996</v>
      </c>
      <c r="AT167" s="96">
        <v>20.100000000000001</v>
      </c>
      <c r="AU167" s="96">
        <v>2.5</v>
      </c>
      <c r="AV167" s="99">
        <v>266</v>
      </c>
      <c r="AW167" s="98">
        <v>23</v>
      </c>
      <c r="AX167" s="98">
        <v>104.7</v>
      </c>
      <c r="AY167" s="98">
        <v>9.9</v>
      </c>
      <c r="AZ167" s="98">
        <v>490</v>
      </c>
      <c r="BA167" s="98">
        <v>44</v>
      </c>
      <c r="BB167" s="98">
        <v>95.9</v>
      </c>
      <c r="BC167" s="98">
        <v>7.1</v>
      </c>
      <c r="BD167" s="98">
        <v>820</v>
      </c>
      <c r="BE167" s="98">
        <v>62</v>
      </c>
      <c r="BF167" s="98">
        <v>159</v>
      </c>
      <c r="BG167" s="98">
        <v>15</v>
      </c>
      <c r="BI167" s="93">
        <v>4.5</v>
      </c>
      <c r="BJ167" s="98">
        <v>2.6</v>
      </c>
      <c r="BK167" s="98">
        <v>529000</v>
      </c>
      <c r="BL167" s="98">
        <v>44000</v>
      </c>
      <c r="BM167" s="98">
        <v>9390</v>
      </c>
      <c r="BN167" s="98">
        <v>930</v>
      </c>
      <c r="BO167" s="99">
        <v>84.9</v>
      </c>
      <c r="BP167" s="98">
        <v>5.4</v>
      </c>
      <c r="BQ167" s="99">
        <v>123</v>
      </c>
      <c r="BR167" s="98">
        <v>7.9</v>
      </c>
      <c r="BT167" s="95">
        <f t="shared" si="146"/>
        <v>0.15</v>
      </c>
      <c r="BU167" s="96">
        <f t="shared" si="147"/>
        <v>12.302631578947368</v>
      </c>
      <c r="BV167" s="96">
        <f t="shared" si="148"/>
        <v>56.336528221512246</v>
      </c>
      <c r="BW167" s="96">
        <f t="shared" si="149"/>
        <v>0.69024390243902445</v>
      </c>
      <c r="BX167" s="99"/>
      <c r="BY167" s="96">
        <f t="shared" si="150"/>
        <v>12.302631578947368</v>
      </c>
      <c r="BZ167" s="97">
        <f t="shared" si="151"/>
        <v>4.0602744484974813E-3</v>
      </c>
      <c r="CA167" s="95">
        <f t="shared" si="152"/>
        <v>0.19203250950776121</v>
      </c>
      <c r="CB167" s="99">
        <f t="shared" si="157"/>
        <v>201.29412702877951</v>
      </c>
      <c r="CC167" s="99">
        <f t="shared" si="157"/>
        <v>12.928647183149256</v>
      </c>
      <c r="CD167" s="100">
        <f t="shared" si="153"/>
        <v>699.91855402232056</v>
      </c>
      <c r="CE167" s="100">
        <f t="shared" si="156"/>
        <v>735.94075342292217</v>
      </c>
      <c r="CF167" s="100">
        <f t="shared" si="154"/>
        <v>55.283339744002042</v>
      </c>
      <c r="CG167" s="96">
        <f t="shared" si="158"/>
        <v>1.4553459924831951</v>
      </c>
      <c r="CH167" s="96">
        <f t="shared" si="129"/>
        <v>0.66099512541605265</v>
      </c>
      <c r="CJ167" s="95"/>
      <c r="CK167" s="93">
        <f t="shared" si="133"/>
        <v>30.555555555555554</v>
      </c>
      <c r="CL167" s="93">
        <f t="shared" si="134"/>
        <v>1.368421052631579</v>
      </c>
      <c r="CM167" s="93">
        <f t="shared" si="135"/>
        <v>3.254817987152034</v>
      </c>
      <c r="CN167" s="93">
        <f t="shared" si="136"/>
        <v>37.908496732026144</v>
      </c>
      <c r="CO167" s="93">
        <f t="shared" si="137"/>
        <v>18.275862068965516</v>
      </c>
      <c r="CP167" s="93">
        <f t="shared" si="138"/>
        <v>238.92944038929443</v>
      </c>
      <c r="CQ167" s="93">
        <f t="shared" si="139"/>
        <v>537.43315508021385</v>
      </c>
      <c r="CR167" s="93">
        <f t="shared" si="140"/>
        <v>1047.2440944881889</v>
      </c>
      <c r="CS167" s="93">
        <f t="shared" si="141"/>
        <v>1849.8233215547705</v>
      </c>
      <c r="CT167" s="93">
        <f t="shared" si="142"/>
        <v>2960.7250755287009</v>
      </c>
      <c r="CU167" s="93">
        <f t="shared" si="143"/>
        <v>3760.7843137254908</v>
      </c>
      <c r="CV167" s="93">
        <f t="shared" si="144"/>
        <v>4823.5294117647054</v>
      </c>
      <c r="CW167" s="93">
        <f t="shared" si="145"/>
        <v>6259.8425196850394</v>
      </c>
    </row>
    <row r="168" spans="1:101" s="98" customFormat="1">
      <c r="A168" s="3" t="s">
        <v>396</v>
      </c>
      <c r="B168" s="3" t="s">
        <v>268</v>
      </c>
      <c r="C168" s="3"/>
      <c r="D168" s="93">
        <v>7.0659999999999998</v>
      </c>
      <c r="E168" s="94">
        <v>0.18609999999999999</v>
      </c>
      <c r="F168" s="94">
        <v>1.4E-3</v>
      </c>
      <c r="G168" s="95">
        <v>13.223000000000001</v>
      </c>
      <c r="H168" s="96">
        <v>0.33</v>
      </c>
      <c r="I168" s="97">
        <v>0.51790000000000003</v>
      </c>
      <c r="J168" s="95">
        <v>1.0999999999999999E-2</v>
      </c>
      <c r="K168" s="96">
        <v>0.65498999999999996</v>
      </c>
      <c r="M168" s="99">
        <v>2690.1</v>
      </c>
      <c r="N168" s="98">
        <v>47</v>
      </c>
      <c r="O168" s="99">
        <v>2705.7</v>
      </c>
      <c r="P168" s="98">
        <v>6.9</v>
      </c>
      <c r="Q168" s="93">
        <v>0.72</v>
      </c>
      <c r="R168" s="97">
        <v>2.5000000000000001E-3</v>
      </c>
      <c r="T168" s="98">
        <v>310</v>
      </c>
      <c r="U168" s="98">
        <v>100</v>
      </c>
      <c r="V168" s="98">
        <v>0.4</v>
      </c>
      <c r="W168" s="98">
        <v>1.3</v>
      </c>
      <c r="X168" s="98">
        <v>0.33</v>
      </c>
      <c r="Y168" s="98">
        <v>0.18</v>
      </c>
      <c r="Z168" s="98">
        <v>6.6</v>
      </c>
      <c r="AA168" s="98">
        <v>0.65</v>
      </c>
      <c r="AB168" s="98">
        <v>2.27</v>
      </c>
      <c r="AC168" s="98">
        <v>0.53</v>
      </c>
      <c r="AD168" s="98">
        <v>1760</v>
      </c>
      <c r="AE168" s="98">
        <v>160</v>
      </c>
      <c r="AF168" s="95">
        <v>0.19700000000000001</v>
      </c>
      <c r="AG168" s="97">
        <v>7.0999999999999994E-2</v>
      </c>
      <c r="AH168" s="96">
        <v>6.39</v>
      </c>
      <c r="AI168" s="96">
        <v>0.92</v>
      </c>
      <c r="AJ168" s="95">
        <v>0.106</v>
      </c>
      <c r="AK168" s="95">
        <v>5.1999999999999998E-2</v>
      </c>
      <c r="AL168" s="96">
        <v>1.1000000000000001</v>
      </c>
      <c r="AM168" s="96">
        <v>0.36</v>
      </c>
      <c r="AN168" s="96">
        <v>3.29</v>
      </c>
      <c r="AO168" s="96">
        <v>0.82</v>
      </c>
      <c r="AP168" s="96">
        <v>0.55000000000000004</v>
      </c>
      <c r="AQ168" s="96">
        <v>0.18</v>
      </c>
      <c r="AR168" s="96">
        <v>28.3</v>
      </c>
      <c r="AS168" s="93">
        <v>3.5</v>
      </c>
      <c r="AT168" s="96">
        <v>11.4</v>
      </c>
      <c r="AU168" s="96">
        <v>1.3</v>
      </c>
      <c r="AV168" s="99">
        <v>153</v>
      </c>
      <c r="AW168" s="98">
        <v>14</v>
      </c>
      <c r="AX168" s="98">
        <v>60.8</v>
      </c>
      <c r="AY168" s="98">
        <v>5</v>
      </c>
      <c r="AZ168" s="98">
        <v>283</v>
      </c>
      <c r="BA168" s="98">
        <v>22</v>
      </c>
      <c r="BB168" s="98">
        <v>57.8</v>
      </c>
      <c r="BC168" s="98">
        <v>4.3</v>
      </c>
      <c r="BD168" s="98">
        <v>547</v>
      </c>
      <c r="BE168" s="98">
        <v>44</v>
      </c>
      <c r="BF168" s="98">
        <v>105</v>
      </c>
      <c r="BG168" s="98">
        <v>10</v>
      </c>
      <c r="BI168" s="93">
        <v>4.7</v>
      </c>
      <c r="BJ168" s="98">
        <v>2.8</v>
      </c>
      <c r="BK168" s="98">
        <v>544000</v>
      </c>
      <c r="BL168" s="98">
        <v>45000</v>
      </c>
      <c r="BM168" s="98">
        <v>10060</v>
      </c>
      <c r="BN168" s="98">
        <v>600</v>
      </c>
      <c r="BO168" s="99">
        <v>37.299999999999997</v>
      </c>
      <c r="BP168" s="98">
        <v>2.4</v>
      </c>
      <c r="BQ168" s="99">
        <v>64</v>
      </c>
      <c r="BR168" s="98">
        <v>4.0999999999999996</v>
      </c>
      <c r="BT168" s="95">
        <f t="shared" si="146"/>
        <v>0.1170018281535649</v>
      </c>
      <c r="BU168" s="96">
        <f t="shared" si="147"/>
        <v>5.8090909090909086</v>
      </c>
      <c r="BV168" s="96">
        <f t="shared" si="148"/>
        <v>54.07554671968191</v>
      </c>
      <c r="BW168" s="96">
        <f t="shared" si="149"/>
        <v>0.58281249999999996</v>
      </c>
      <c r="BX168" s="99">
        <f>CK168/SQRT(CJ168*CL168)</f>
        <v>10.841749433042221</v>
      </c>
      <c r="BY168" s="96">
        <f t="shared" si="150"/>
        <v>5.8090909090909086</v>
      </c>
      <c r="BZ168" s="97">
        <f t="shared" si="151"/>
        <v>3.3006198347107435E-3</v>
      </c>
      <c r="CA168" s="95">
        <f t="shared" si="152"/>
        <v>0.1742589760212902</v>
      </c>
      <c r="CB168" s="99">
        <f t="shared" si="157"/>
        <v>104.73840755969016</v>
      </c>
      <c r="CC168" s="99">
        <f t="shared" si="157"/>
        <v>6.7098042342926503</v>
      </c>
      <c r="CD168" s="100">
        <f t="shared" si="153"/>
        <v>703.65825108924321</v>
      </c>
      <c r="CE168" s="100">
        <f t="shared" si="156"/>
        <v>739.96302873525235</v>
      </c>
      <c r="CF168" s="100">
        <f t="shared" si="154"/>
        <v>57.359924002025288</v>
      </c>
      <c r="CG168" s="96">
        <f t="shared" si="158"/>
        <v>0.12300179407837897</v>
      </c>
      <c r="CH168" s="96">
        <f t="shared" si="129"/>
        <v>0.65634526867121512</v>
      </c>
      <c r="CJ168" s="95">
        <f>AF168/CJ$4</f>
        <v>0.83122362869198319</v>
      </c>
      <c r="CK168" s="93">
        <f t="shared" si="133"/>
        <v>10.441176470588236</v>
      </c>
      <c r="CL168" s="93">
        <f t="shared" si="134"/>
        <v>1.1157894736842104</v>
      </c>
      <c r="CM168" s="93">
        <f t="shared" si="135"/>
        <v>2.3554603854389722</v>
      </c>
      <c r="CN168" s="93">
        <f t="shared" si="136"/>
        <v>21.503267973856211</v>
      </c>
      <c r="CO168" s="93">
        <f t="shared" si="137"/>
        <v>9.4827586206896548</v>
      </c>
      <c r="CP168" s="93">
        <f t="shared" si="138"/>
        <v>137.71289537712897</v>
      </c>
      <c r="CQ168" s="93">
        <f t="shared" si="139"/>
        <v>304.81283422459893</v>
      </c>
      <c r="CR168" s="93">
        <f t="shared" si="140"/>
        <v>602.36220472440948</v>
      </c>
      <c r="CS168" s="93">
        <f t="shared" si="141"/>
        <v>1074.2049469964663</v>
      </c>
      <c r="CT168" s="93">
        <f t="shared" si="142"/>
        <v>1709.9697885196374</v>
      </c>
      <c r="CU168" s="93">
        <f t="shared" si="143"/>
        <v>2266.6666666666665</v>
      </c>
      <c r="CV168" s="93">
        <f t="shared" si="144"/>
        <v>3217.6470588235293</v>
      </c>
      <c r="CW168" s="93">
        <f t="shared" si="145"/>
        <v>4133.8582677165359</v>
      </c>
    </row>
    <row r="169" spans="1:101" s="98" customFormat="1">
      <c r="A169" s="3" t="s">
        <v>397</v>
      </c>
      <c r="B169" s="3" t="s">
        <v>268</v>
      </c>
      <c r="C169" s="3"/>
      <c r="D169" s="93">
        <v>6.31</v>
      </c>
      <c r="E169" s="94">
        <v>0.187</v>
      </c>
      <c r="F169" s="94">
        <v>4.1000000000000003E-3</v>
      </c>
      <c r="G169" s="95">
        <v>13.19</v>
      </c>
      <c r="H169" s="96">
        <v>0.43</v>
      </c>
      <c r="I169" s="97">
        <v>0.51280000000000003</v>
      </c>
      <c r="J169" s="95">
        <v>1.2E-2</v>
      </c>
      <c r="K169" s="96">
        <v>0.15762000000000001</v>
      </c>
      <c r="M169" s="99">
        <v>2668</v>
      </c>
      <c r="N169" s="98">
        <v>50</v>
      </c>
      <c r="O169" s="99">
        <v>2712</v>
      </c>
      <c r="P169" s="98">
        <v>19</v>
      </c>
      <c r="Q169" s="93">
        <v>1.6</v>
      </c>
      <c r="R169" s="97">
        <v>7.0000000000000001E-3</v>
      </c>
      <c r="T169" s="98">
        <v>130</v>
      </c>
      <c r="U169" s="98">
        <v>160</v>
      </c>
      <c r="V169" s="98">
        <v>0.11</v>
      </c>
      <c r="W169" s="98">
        <v>0.9</v>
      </c>
      <c r="X169" s="98">
        <v>0.09</v>
      </c>
      <c r="Y169" s="98">
        <v>0.12</v>
      </c>
      <c r="Z169" s="98">
        <v>2.17</v>
      </c>
      <c r="AA169" s="98">
        <v>0.59</v>
      </c>
      <c r="AB169" s="98">
        <v>0.56999999999999995</v>
      </c>
      <c r="AC169" s="98">
        <v>0.38</v>
      </c>
      <c r="AD169" s="98">
        <v>605</v>
      </c>
      <c r="AE169" s="98">
        <v>55</v>
      </c>
      <c r="AF169" s="95">
        <v>0.22600000000000001</v>
      </c>
      <c r="AG169" s="97">
        <v>0.05</v>
      </c>
      <c r="AH169" s="96">
        <v>1.82</v>
      </c>
      <c r="AI169" s="96">
        <v>0.52</v>
      </c>
      <c r="AJ169" s="95">
        <v>0.17499999999999999</v>
      </c>
      <c r="AK169" s="95">
        <v>5.6000000000000001E-2</v>
      </c>
      <c r="AL169" s="96">
        <v>1.25</v>
      </c>
      <c r="AM169" s="96">
        <v>0.61</v>
      </c>
      <c r="AN169" s="96">
        <v>1.01</v>
      </c>
      <c r="AO169" s="96">
        <v>0.56000000000000005</v>
      </c>
      <c r="AP169" s="96">
        <v>0.47</v>
      </c>
      <c r="AQ169" s="96">
        <v>0.21</v>
      </c>
      <c r="AR169" s="96">
        <v>13.5</v>
      </c>
      <c r="AS169" s="93">
        <v>2.5</v>
      </c>
      <c r="AT169" s="96">
        <v>4.05</v>
      </c>
      <c r="AU169" s="96">
        <v>0.78</v>
      </c>
      <c r="AV169" s="99">
        <v>57.8</v>
      </c>
      <c r="AW169" s="98">
        <v>9.3000000000000007</v>
      </c>
      <c r="AX169" s="98">
        <v>21.9</v>
      </c>
      <c r="AY169" s="98">
        <v>2.1</v>
      </c>
      <c r="AZ169" s="98">
        <v>107.9</v>
      </c>
      <c r="BA169" s="98">
        <v>8.9</v>
      </c>
      <c r="BB169" s="98">
        <v>22.2</v>
      </c>
      <c r="BC169" s="98">
        <v>3.2</v>
      </c>
      <c r="BD169" s="98">
        <v>215</v>
      </c>
      <c r="BE169" s="98">
        <v>21</v>
      </c>
      <c r="BF169" s="98">
        <v>45.8</v>
      </c>
      <c r="BG169" s="98">
        <v>4.0999999999999996</v>
      </c>
      <c r="BI169" s="93">
        <v>5.5</v>
      </c>
      <c r="BJ169" s="98">
        <v>3.2</v>
      </c>
      <c r="BK169" s="98">
        <v>536000</v>
      </c>
      <c r="BL169" s="98">
        <v>51000</v>
      </c>
      <c r="BM169" s="98">
        <v>8860</v>
      </c>
      <c r="BN169" s="98">
        <v>740</v>
      </c>
      <c r="BO169" s="99">
        <v>5.85</v>
      </c>
      <c r="BP169" s="98">
        <v>0.52</v>
      </c>
      <c r="BQ169" s="99">
        <v>16.899999999999999</v>
      </c>
      <c r="BR169" s="98">
        <v>1.3</v>
      </c>
      <c r="BT169" s="95">
        <f t="shared" si="146"/>
        <v>7.8604651162790695E-2</v>
      </c>
      <c r="BU169" s="96">
        <f t="shared" si="147"/>
        <v>1.456</v>
      </c>
      <c r="BV169" s="96">
        <f t="shared" si="148"/>
        <v>60.496613995485326</v>
      </c>
      <c r="BW169" s="96">
        <f t="shared" si="149"/>
        <v>0.34615384615384615</v>
      </c>
      <c r="BX169" s="99">
        <f>CK169/SQRT(CJ169*CL169)</f>
        <v>2.243792528606579</v>
      </c>
      <c r="BY169" s="96">
        <f t="shared" si="150"/>
        <v>1.456</v>
      </c>
      <c r="BZ169" s="97">
        <f t="shared" si="151"/>
        <v>2.4066115702479338E-3</v>
      </c>
      <c r="CA169" s="95">
        <f t="shared" si="152"/>
        <v>0.38912929009233593</v>
      </c>
      <c r="CB169" s="99">
        <f t="shared" si="157"/>
        <v>27.65748574623068</v>
      </c>
      <c r="CC169" s="99">
        <f t="shared" si="157"/>
        <v>2.1274989035562064</v>
      </c>
      <c r="CD169" s="100">
        <f t="shared" si="153"/>
        <v>717.41924957247181</v>
      </c>
      <c r="CE169" s="100">
        <f t="shared" si="156"/>
        <v>754.77369387117153</v>
      </c>
      <c r="CF169" s="100">
        <f t="shared" si="154"/>
        <v>57.600806394707909</v>
      </c>
      <c r="CG169" s="96">
        <f t="shared" si="158"/>
        <v>-1.0357550584788728</v>
      </c>
      <c r="CH169" s="96">
        <f t="shared" si="129"/>
        <v>0.79447955720937558</v>
      </c>
      <c r="CJ169" s="95">
        <f>AF169/CJ$4</f>
        <v>0.95358649789029548</v>
      </c>
      <c r="CK169" s="93">
        <f t="shared" si="133"/>
        <v>2.9738562091503269</v>
      </c>
      <c r="CL169" s="93">
        <f t="shared" si="134"/>
        <v>1.8421052631578947</v>
      </c>
      <c r="CM169" s="93">
        <f t="shared" si="135"/>
        <v>2.6766595289079227</v>
      </c>
      <c r="CN169" s="93">
        <f t="shared" si="136"/>
        <v>6.6013071895424842</v>
      </c>
      <c r="CO169" s="93">
        <f t="shared" si="137"/>
        <v>8.1034482758620676</v>
      </c>
      <c r="CP169" s="93">
        <f t="shared" si="138"/>
        <v>65.693430656934311</v>
      </c>
      <c r="CQ169" s="93">
        <f t="shared" si="139"/>
        <v>108.28877005347593</v>
      </c>
      <c r="CR169" s="93">
        <f t="shared" si="140"/>
        <v>227.55905511811022</v>
      </c>
      <c r="CS169" s="93">
        <f t="shared" si="141"/>
        <v>386.92579505300353</v>
      </c>
      <c r="CT169" s="93">
        <f t="shared" si="142"/>
        <v>651.96374622356495</v>
      </c>
      <c r="CU169" s="93">
        <f t="shared" si="143"/>
        <v>870.58823529411768</v>
      </c>
      <c r="CV169" s="93">
        <f t="shared" si="144"/>
        <v>1264.705882352941</v>
      </c>
      <c r="CW169" s="93">
        <f t="shared" si="145"/>
        <v>1803.1496062992126</v>
      </c>
    </row>
    <row r="170" spans="1:101" s="98" customFormat="1">
      <c r="A170" s="3" t="s">
        <v>398</v>
      </c>
      <c r="B170" s="3" t="s">
        <v>268</v>
      </c>
      <c r="C170" s="3"/>
      <c r="D170" s="93">
        <v>6.1695000000000002</v>
      </c>
      <c r="E170" s="94">
        <v>0.18490000000000001</v>
      </c>
      <c r="F170" s="94">
        <v>2.2000000000000001E-3</v>
      </c>
      <c r="G170" s="95">
        <v>12.99</v>
      </c>
      <c r="H170" s="96">
        <v>0.35</v>
      </c>
      <c r="I170" s="97">
        <v>0.51080000000000003</v>
      </c>
      <c r="J170" s="95">
        <v>1.0999999999999999E-2</v>
      </c>
      <c r="K170" s="96">
        <v>0.28465000000000001</v>
      </c>
      <c r="M170" s="99">
        <v>2660.2</v>
      </c>
      <c r="N170" s="98">
        <v>48</v>
      </c>
      <c r="O170" s="99">
        <v>2696</v>
      </c>
      <c r="P170" s="98">
        <v>14</v>
      </c>
      <c r="Q170" s="93">
        <v>1.33</v>
      </c>
      <c r="R170" s="97">
        <v>4.8999999999999998E-3</v>
      </c>
      <c r="T170" s="98">
        <v>360</v>
      </c>
      <c r="U170" s="98">
        <v>180</v>
      </c>
      <c r="V170" s="98">
        <v>0.69</v>
      </c>
      <c r="W170" s="98">
        <v>0.77</v>
      </c>
      <c r="X170" s="98">
        <v>0.39</v>
      </c>
      <c r="Y170" s="98">
        <v>0.34</v>
      </c>
      <c r="Z170" s="98">
        <v>7.3</v>
      </c>
      <c r="AA170" s="98">
        <v>1.2</v>
      </c>
      <c r="AB170" s="98">
        <v>2.5499999999999998</v>
      </c>
      <c r="AC170" s="98">
        <v>0.49</v>
      </c>
      <c r="AD170" s="98">
        <v>1500</v>
      </c>
      <c r="AE170" s="98">
        <v>130</v>
      </c>
      <c r="AF170" s="95" t="s">
        <v>250</v>
      </c>
      <c r="AG170" s="97" t="s">
        <v>250</v>
      </c>
      <c r="AH170" s="96">
        <v>5.0999999999999996</v>
      </c>
      <c r="AI170" s="96">
        <v>1.1000000000000001</v>
      </c>
      <c r="AJ170" s="95">
        <v>4.8000000000000001E-2</v>
      </c>
      <c r="AK170" s="95">
        <v>2.9000000000000001E-2</v>
      </c>
      <c r="AL170" s="96">
        <v>0.77</v>
      </c>
      <c r="AM170" s="96">
        <v>0.35</v>
      </c>
      <c r="AN170" s="96">
        <v>3.58</v>
      </c>
      <c r="AO170" s="96">
        <v>0.9</v>
      </c>
      <c r="AP170" s="96">
        <v>0.67</v>
      </c>
      <c r="AQ170" s="96">
        <v>0.28999999999999998</v>
      </c>
      <c r="AR170" s="96">
        <v>20.5</v>
      </c>
      <c r="AS170" s="93">
        <v>4.5</v>
      </c>
      <c r="AT170" s="96">
        <v>9.4</v>
      </c>
      <c r="AU170" s="96">
        <v>0.77</v>
      </c>
      <c r="AV170" s="99">
        <v>139.30000000000001</v>
      </c>
      <c r="AW170" s="98">
        <v>9.8000000000000007</v>
      </c>
      <c r="AX170" s="98">
        <v>53.1</v>
      </c>
      <c r="AY170" s="98">
        <v>5.0999999999999996</v>
      </c>
      <c r="AZ170" s="98">
        <v>270</v>
      </c>
      <c r="BA170" s="98">
        <v>24</v>
      </c>
      <c r="BB170" s="98">
        <v>52.7</v>
      </c>
      <c r="BC170" s="98">
        <v>3.8</v>
      </c>
      <c r="BD170" s="98">
        <v>509</v>
      </c>
      <c r="BE170" s="98">
        <v>50</v>
      </c>
      <c r="BF170" s="98">
        <v>105.2</v>
      </c>
      <c r="BG170" s="98">
        <v>8</v>
      </c>
      <c r="BI170" s="93">
        <v>5</v>
      </c>
      <c r="BJ170" s="98">
        <v>2</v>
      </c>
      <c r="BK170" s="98">
        <v>534000</v>
      </c>
      <c r="BL170" s="98">
        <v>51000</v>
      </c>
      <c r="BM170" s="98">
        <v>9560</v>
      </c>
      <c r="BN170" s="98">
        <v>760</v>
      </c>
      <c r="BO170" s="99">
        <v>19.8</v>
      </c>
      <c r="BP170" s="98">
        <v>0.94</v>
      </c>
      <c r="BQ170" s="99">
        <v>45.9</v>
      </c>
      <c r="BR170" s="98">
        <v>2.2000000000000002</v>
      </c>
      <c r="BT170" s="95">
        <f t="shared" si="146"/>
        <v>9.0176817288801572E-2</v>
      </c>
      <c r="BU170" s="96">
        <f t="shared" si="147"/>
        <v>6.6233766233766227</v>
      </c>
      <c r="BV170" s="96">
        <f t="shared" si="148"/>
        <v>55.85774058577406</v>
      </c>
      <c r="BW170" s="96">
        <f t="shared" si="149"/>
        <v>0.43137254901960786</v>
      </c>
      <c r="BX170" s="99"/>
      <c r="BY170" s="96">
        <f t="shared" si="150"/>
        <v>6.6233766233766227</v>
      </c>
      <c r="BZ170" s="97">
        <f t="shared" si="151"/>
        <v>4.4155844155844151E-3</v>
      </c>
      <c r="CA170" s="95">
        <f t="shared" si="152"/>
        <v>0.23910022995697197</v>
      </c>
      <c r="CB170" s="99">
        <f t="shared" si="157"/>
        <v>75.117076671715282</v>
      </c>
      <c r="CC170" s="99">
        <f t="shared" si="157"/>
        <v>3.6003827598643494</v>
      </c>
      <c r="CD170" s="100">
        <f t="shared" si="153"/>
        <v>709.02932622103117</v>
      </c>
      <c r="CE170" s="100">
        <f t="shared" si="156"/>
        <v>745.74195499893858</v>
      </c>
      <c r="CF170" s="100">
        <f t="shared" si="154"/>
        <v>39.766542195441396</v>
      </c>
      <c r="CG170" s="96">
        <f t="shared" si="158"/>
        <v>-3.3338818960453764E-2</v>
      </c>
      <c r="CH170" s="96">
        <f t="shared" si="129"/>
        <v>0.57233669629302708</v>
      </c>
      <c r="CJ170" s="95"/>
      <c r="CK170" s="93">
        <f t="shared" si="133"/>
        <v>8.3333333333333321</v>
      </c>
      <c r="CL170" s="93">
        <f t="shared" si="134"/>
        <v>0.50526315789473686</v>
      </c>
      <c r="CM170" s="93">
        <f t="shared" si="135"/>
        <v>1.6488222698072805</v>
      </c>
      <c r="CN170" s="93">
        <f t="shared" si="136"/>
        <v>23.398692810457518</v>
      </c>
      <c r="CO170" s="93">
        <f t="shared" si="137"/>
        <v>11.551724137931034</v>
      </c>
      <c r="CP170" s="93">
        <f t="shared" si="138"/>
        <v>99.75669099756692</v>
      </c>
      <c r="CQ170" s="93">
        <f t="shared" si="139"/>
        <v>251.3368983957219</v>
      </c>
      <c r="CR170" s="93">
        <f t="shared" si="140"/>
        <v>548.42519685039372</v>
      </c>
      <c r="CS170" s="93">
        <f t="shared" si="141"/>
        <v>938.16254416961135</v>
      </c>
      <c r="CT170" s="93">
        <f t="shared" si="142"/>
        <v>1631.4199395770393</v>
      </c>
      <c r="CU170" s="93">
        <f t="shared" si="143"/>
        <v>2066.666666666667</v>
      </c>
      <c r="CV170" s="93">
        <f t="shared" si="144"/>
        <v>2994.1176470588234</v>
      </c>
      <c r="CW170" s="93">
        <f t="shared" si="145"/>
        <v>4141.7322834645674</v>
      </c>
    </row>
    <row r="171" spans="1:101" s="107" customFormat="1">
      <c r="A171" s="101" t="s">
        <v>281</v>
      </c>
      <c r="B171" s="101"/>
      <c r="C171" s="101"/>
      <c r="D171" s="102"/>
      <c r="E171" s="103"/>
      <c r="F171" s="103"/>
      <c r="G171" s="104"/>
      <c r="H171" s="105"/>
      <c r="I171" s="106"/>
      <c r="J171" s="104"/>
      <c r="K171" s="105"/>
      <c r="M171" s="108"/>
      <c r="O171" s="108"/>
      <c r="R171" s="106"/>
      <c r="AF171" s="104"/>
      <c r="AG171" s="106"/>
      <c r="AH171" s="105"/>
      <c r="AI171" s="105"/>
      <c r="AJ171" s="104"/>
      <c r="AK171" s="104"/>
      <c r="AL171" s="105"/>
      <c r="AM171" s="105"/>
      <c r="AN171" s="105"/>
      <c r="AO171" s="105"/>
      <c r="AP171" s="105"/>
      <c r="AQ171" s="105"/>
      <c r="AR171" s="105"/>
      <c r="AS171" s="102"/>
      <c r="AT171" s="105"/>
      <c r="AU171" s="105"/>
      <c r="AV171" s="108"/>
      <c r="BI171" s="102"/>
      <c r="BO171" s="108"/>
      <c r="BQ171" s="108"/>
      <c r="BT171" s="95"/>
      <c r="BU171" s="96"/>
      <c r="BV171" s="96"/>
      <c r="BW171" s="96"/>
      <c r="BX171" s="108">
        <f>AVERAGE(BX137:BX170)</f>
        <v>71.081340623730171</v>
      </c>
      <c r="BY171" s="96"/>
      <c r="BZ171" s="97"/>
      <c r="CA171" s="104">
        <f>AVERAGE(CA137:CA170)</f>
        <v>0.20609459259547591</v>
      </c>
      <c r="CB171" s="99"/>
      <c r="CC171" s="99"/>
      <c r="CD171" s="109">
        <f>AVERAGE(CD137:CD170)</f>
        <v>694.2322341506806</v>
      </c>
      <c r="CE171" s="109">
        <f>AVERAGE(CE137:CE170)</f>
        <v>729.87324905617891</v>
      </c>
      <c r="CF171" s="100"/>
      <c r="CG171" s="105">
        <f>AVERAGE(CG137:CG170)</f>
        <v>0.37376470645196702</v>
      </c>
      <c r="CH171" s="105">
        <f>AVERAGE(CH137:CH170)</f>
        <v>0.83633591398873908</v>
      </c>
      <c r="CJ171" s="95"/>
      <c r="CK171" s="93"/>
      <c r="CL171" s="93"/>
      <c r="CM171" s="93"/>
      <c r="CN171" s="93"/>
      <c r="CO171" s="93"/>
      <c r="CP171" s="93"/>
      <c r="CQ171" s="93"/>
      <c r="CR171" s="93"/>
      <c r="CS171" s="93"/>
      <c r="CT171" s="93"/>
      <c r="CU171" s="93"/>
      <c r="CV171" s="93"/>
      <c r="CW171" s="93"/>
    </row>
    <row r="172" spans="1:101" s="107" customFormat="1">
      <c r="A172" s="101" t="s">
        <v>282</v>
      </c>
      <c r="B172" s="101"/>
      <c r="C172" s="101"/>
      <c r="D172" s="102"/>
      <c r="E172" s="103"/>
      <c r="F172" s="103"/>
      <c r="G172" s="104"/>
      <c r="H172" s="105"/>
      <c r="I172" s="106"/>
      <c r="J172" s="104"/>
      <c r="K172" s="105"/>
      <c r="M172" s="108"/>
      <c r="O172" s="108"/>
      <c r="R172" s="106"/>
      <c r="AF172" s="104"/>
      <c r="AG172" s="106"/>
      <c r="AH172" s="105"/>
      <c r="AI172" s="105"/>
      <c r="AJ172" s="104"/>
      <c r="AK172" s="104"/>
      <c r="AL172" s="105"/>
      <c r="AM172" s="105"/>
      <c r="AN172" s="105"/>
      <c r="AO172" s="105"/>
      <c r="AP172" s="105"/>
      <c r="AQ172" s="105"/>
      <c r="AR172" s="105"/>
      <c r="AS172" s="102"/>
      <c r="AT172" s="105"/>
      <c r="AU172" s="105"/>
      <c r="AV172" s="108"/>
      <c r="BI172" s="102"/>
      <c r="BO172" s="108"/>
      <c r="BQ172" s="108"/>
      <c r="BT172" s="95"/>
      <c r="BU172" s="96"/>
      <c r="BV172" s="96"/>
      <c r="BW172" s="96"/>
      <c r="BX172" s="108">
        <f>MEDIAN(BX137:BX170)</f>
        <v>23.449181962214883</v>
      </c>
      <c r="BY172" s="96"/>
      <c r="BZ172" s="97"/>
      <c r="CA172" s="104">
        <f>MEDIAN(CA137:CA170)</f>
        <v>0.18358609519261135</v>
      </c>
      <c r="CB172" s="99"/>
      <c r="CC172" s="99"/>
      <c r="CD172" s="109">
        <f>MEDIAN(CD137:CD170)</f>
        <v>701.80514273689687</v>
      </c>
      <c r="CE172" s="109">
        <f>MEDIAN(CE137:CE170)</f>
        <v>737.96975311523488</v>
      </c>
      <c r="CF172" s="100"/>
      <c r="CG172" s="105">
        <f>MEDIAN(CG137:CG170)</f>
        <v>0.45967547466408121</v>
      </c>
      <c r="CH172" s="105">
        <f>MEDIAN(CH137:CH170)</f>
        <v>0.78185266909557549</v>
      </c>
      <c r="CJ172" s="95"/>
      <c r="CK172" s="93"/>
      <c r="CL172" s="93"/>
      <c r="CM172" s="93"/>
      <c r="CN172" s="93"/>
      <c r="CO172" s="93"/>
      <c r="CP172" s="93"/>
      <c r="CQ172" s="93"/>
      <c r="CR172" s="93"/>
      <c r="CS172" s="93"/>
      <c r="CT172" s="93"/>
      <c r="CU172" s="93"/>
      <c r="CV172" s="93"/>
      <c r="CW172" s="93"/>
    </row>
    <row r="173" spans="1:101" s="107" customFormat="1">
      <c r="A173" s="101" t="s">
        <v>204</v>
      </c>
      <c r="B173" s="101"/>
      <c r="C173" s="101"/>
      <c r="D173" s="102"/>
      <c r="E173" s="103"/>
      <c r="F173" s="103"/>
      <c r="G173" s="104"/>
      <c r="H173" s="105"/>
      <c r="I173" s="106"/>
      <c r="J173" s="104"/>
      <c r="K173" s="105"/>
      <c r="M173" s="108"/>
      <c r="O173" s="108"/>
      <c r="R173" s="106"/>
      <c r="AF173" s="104"/>
      <c r="AG173" s="106"/>
      <c r="AH173" s="105"/>
      <c r="AI173" s="105"/>
      <c r="AJ173" s="104"/>
      <c r="AK173" s="104"/>
      <c r="AL173" s="105"/>
      <c r="AM173" s="105"/>
      <c r="AN173" s="105"/>
      <c r="AO173" s="105"/>
      <c r="AP173" s="105"/>
      <c r="AQ173" s="105"/>
      <c r="AR173" s="105"/>
      <c r="AS173" s="102"/>
      <c r="AT173" s="105"/>
      <c r="AU173" s="105"/>
      <c r="AV173" s="108"/>
      <c r="BI173" s="102"/>
      <c r="BO173" s="108"/>
      <c r="BQ173" s="108"/>
      <c r="BT173" s="95"/>
      <c r="BU173" s="96"/>
      <c r="BV173" s="96"/>
      <c r="BW173" s="96"/>
      <c r="BX173" s="108">
        <f>_xlfn.STDEV.S(BX137:BX170)</f>
        <v>101.68020826933086</v>
      </c>
      <c r="BY173" s="96"/>
      <c r="BZ173" s="97"/>
      <c r="CA173" s="104">
        <f>_xlfn.STDEV.S(CA137:CA170)</f>
        <v>6.174453288759043E-2</v>
      </c>
      <c r="CB173" s="99"/>
      <c r="CC173" s="99"/>
      <c r="CD173" s="109">
        <f>_xlfn.STDEV.S(CD137:CD170)</f>
        <v>34.223305272663481</v>
      </c>
      <c r="CE173" s="109">
        <f>_xlfn.STDEV.S(CE137:CE170)</f>
        <v>36.747667593065529</v>
      </c>
      <c r="CF173" s="100"/>
      <c r="CG173" s="105">
        <f>_xlfn.STDEV.S(CG137:CG170)</f>
        <v>1.0004444560579788</v>
      </c>
      <c r="CH173" s="105">
        <f>_xlfn.STDEV.S(CH137:CH170)</f>
        <v>0.29289210158570278</v>
      </c>
      <c r="CJ173" s="95"/>
      <c r="CK173" s="93"/>
      <c r="CL173" s="93"/>
      <c r="CM173" s="93"/>
      <c r="CN173" s="93"/>
      <c r="CO173" s="93"/>
      <c r="CP173" s="93"/>
      <c r="CQ173" s="93"/>
      <c r="CR173" s="93"/>
      <c r="CS173" s="93"/>
      <c r="CT173" s="93"/>
      <c r="CU173" s="93"/>
      <c r="CV173" s="93"/>
      <c r="CW173" s="93"/>
    </row>
    <row r="174" spans="1:101" s="107" customFormat="1">
      <c r="A174" s="101" t="s">
        <v>283</v>
      </c>
      <c r="B174" s="101"/>
      <c r="C174" s="101"/>
      <c r="D174" s="102"/>
      <c r="E174" s="103"/>
      <c r="F174" s="103"/>
      <c r="G174" s="104"/>
      <c r="H174" s="105"/>
      <c r="I174" s="106"/>
      <c r="J174" s="104"/>
      <c r="K174" s="105"/>
      <c r="M174" s="108"/>
      <c r="O174" s="108"/>
      <c r="R174" s="106"/>
      <c r="AF174" s="104"/>
      <c r="AG174" s="106"/>
      <c r="AH174" s="105"/>
      <c r="AI174" s="105"/>
      <c r="AJ174" s="104"/>
      <c r="AK174" s="104"/>
      <c r="AL174" s="105"/>
      <c r="AM174" s="105"/>
      <c r="AN174" s="105"/>
      <c r="AO174" s="105"/>
      <c r="AP174" s="105"/>
      <c r="AQ174" s="105"/>
      <c r="AR174" s="105"/>
      <c r="AS174" s="102"/>
      <c r="AT174" s="105"/>
      <c r="AU174" s="105"/>
      <c r="AV174" s="108"/>
      <c r="BI174" s="102"/>
      <c r="BO174" s="108"/>
      <c r="BQ174" s="108"/>
      <c r="BT174" s="95"/>
      <c r="BU174" s="96"/>
      <c r="BV174" s="96"/>
      <c r="BW174" s="96"/>
      <c r="BX174" s="105">
        <f>BX173/BX171</f>
        <v>1.4304767942908692</v>
      </c>
      <c r="BY174" s="96"/>
      <c r="BZ174" s="97"/>
      <c r="CA174" s="104">
        <f>CA173/CA171</f>
        <v>0.29959317277568309</v>
      </c>
      <c r="CB174" s="99"/>
      <c r="CC174" s="99"/>
      <c r="CD174" s="110">
        <f>CD173/CD171</f>
        <v>4.9296623794099763E-2</v>
      </c>
      <c r="CE174" s="110">
        <f>CE173/CE171</f>
        <v>5.0348012672864838E-2</v>
      </c>
      <c r="CF174" s="100"/>
      <c r="CG174" s="105">
        <f>CG173/CG171</f>
        <v>2.6766691418108715</v>
      </c>
      <c r="CH174" s="105">
        <f>CH173/CH171</f>
        <v>0.35020868611131584</v>
      </c>
      <c r="CJ174" s="95"/>
      <c r="CK174" s="93"/>
      <c r="CL174" s="93"/>
      <c r="CM174" s="93"/>
      <c r="CN174" s="93"/>
      <c r="CO174" s="93"/>
      <c r="CP174" s="93"/>
      <c r="CQ174" s="93"/>
      <c r="CR174" s="93"/>
      <c r="CS174" s="93"/>
      <c r="CT174" s="93"/>
      <c r="CU174" s="93"/>
      <c r="CV174" s="93"/>
      <c r="CW174" s="93"/>
    </row>
    <row r="175" spans="1:101" s="107" customFormat="1">
      <c r="A175" s="101"/>
      <c r="B175" s="101"/>
      <c r="C175" s="101"/>
      <c r="D175" s="102"/>
      <c r="E175" s="103"/>
      <c r="F175" s="103"/>
      <c r="G175" s="104"/>
      <c r="H175" s="105"/>
      <c r="I175" s="106"/>
      <c r="J175" s="104"/>
      <c r="K175" s="105"/>
      <c r="M175" s="108"/>
      <c r="O175" s="108"/>
      <c r="R175" s="106"/>
      <c r="AF175" s="104"/>
      <c r="AG175" s="106"/>
      <c r="AH175" s="105"/>
      <c r="AI175" s="105"/>
      <c r="AJ175" s="104"/>
      <c r="AK175" s="104"/>
      <c r="AL175" s="105"/>
      <c r="AM175" s="105"/>
      <c r="AN175" s="105"/>
      <c r="AO175" s="105"/>
      <c r="AP175" s="105"/>
      <c r="AQ175" s="105"/>
      <c r="AR175" s="105"/>
      <c r="AS175" s="102"/>
      <c r="AT175" s="105"/>
      <c r="AU175" s="105"/>
      <c r="AV175" s="108"/>
      <c r="BI175" s="102"/>
      <c r="BO175" s="108"/>
      <c r="BQ175" s="108"/>
      <c r="BT175" s="95"/>
      <c r="BU175" s="96"/>
      <c r="BV175" s="96"/>
      <c r="BW175" s="96"/>
      <c r="BX175" s="99"/>
      <c r="BY175" s="96"/>
      <c r="BZ175" s="97"/>
      <c r="CA175" s="95"/>
      <c r="CB175" s="99"/>
      <c r="CC175" s="99"/>
      <c r="CD175" s="100"/>
      <c r="CE175" s="100"/>
      <c r="CF175" s="100"/>
      <c r="CG175" s="105"/>
      <c r="CH175" s="96"/>
      <c r="CJ175" s="95"/>
      <c r="CK175" s="93"/>
      <c r="CL175" s="93"/>
      <c r="CM175" s="93"/>
      <c r="CN175" s="93"/>
      <c r="CO175" s="93"/>
      <c r="CP175" s="93"/>
      <c r="CQ175" s="93"/>
      <c r="CR175" s="93"/>
      <c r="CS175" s="93"/>
      <c r="CT175" s="93"/>
      <c r="CU175" s="93"/>
      <c r="CV175" s="93"/>
      <c r="CW175" s="93"/>
    </row>
    <row r="176" spans="1:101" s="98" customFormat="1">
      <c r="A176" s="3"/>
      <c r="B176" s="3"/>
      <c r="C176" s="3"/>
      <c r="D176" s="93"/>
      <c r="E176" s="94"/>
      <c r="F176" s="94"/>
      <c r="G176" s="95"/>
      <c r="H176" s="96"/>
      <c r="I176" s="97"/>
      <c r="J176" s="95"/>
      <c r="K176" s="96"/>
      <c r="M176" s="99"/>
      <c r="O176" s="99"/>
      <c r="R176" s="97"/>
      <c r="AF176" s="95"/>
      <c r="AG176" s="97"/>
      <c r="AH176" s="96"/>
      <c r="AI176" s="96"/>
      <c r="AJ176" s="95"/>
      <c r="AK176" s="95"/>
      <c r="AL176" s="96"/>
      <c r="AM176" s="96"/>
      <c r="AN176" s="96"/>
      <c r="AO176" s="96"/>
      <c r="AP176" s="96"/>
      <c r="AQ176" s="96"/>
      <c r="AR176" s="96"/>
      <c r="AS176" s="93"/>
      <c r="AT176" s="96"/>
      <c r="AU176" s="96"/>
      <c r="AV176" s="99"/>
      <c r="BI176" s="93"/>
      <c r="BO176" s="99"/>
      <c r="BQ176" s="99"/>
      <c r="BT176" s="95"/>
      <c r="BU176" s="96"/>
      <c r="BV176" s="96"/>
      <c r="BW176" s="96"/>
      <c r="BX176" s="99"/>
      <c r="BY176" s="96"/>
      <c r="BZ176" s="97"/>
      <c r="CA176" s="95"/>
      <c r="CB176" s="99"/>
      <c r="CC176" s="99"/>
      <c r="CD176" s="100"/>
      <c r="CE176" s="100"/>
      <c r="CF176" s="100"/>
      <c r="CG176" s="96"/>
      <c r="CH176" s="96"/>
      <c r="CJ176" s="95"/>
      <c r="CK176" s="93"/>
      <c r="CL176" s="93"/>
      <c r="CM176" s="93"/>
      <c r="CN176" s="93"/>
      <c r="CO176" s="93"/>
      <c r="CP176" s="93"/>
      <c r="CQ176" s="93"/>
      <c r="CR176" s="93"/>
      <c r="CS176" s="93"/>
      <c r="CT176" s="93"/>
      <c r="CU176" s="93"/>
      <c r="CV176" s="93"/>
      <c r="CW176" s="93"/>
    </row>
    <row r="177" spans="1:101" s="98" customFormat="1">
      <c r="A177" s="3" t="s">
        <v>399</v>
      </c>
      <c r="B177" s="92" t="s">
        <v>244</v>
      </c>
      <c r="C177" s="3"/>
      <c r="D177" s="93">
        <v>11.01</v>
      </c>
      <c r="E177" s="94">
        <v>0.18490999999999999</v>
      </c>
      <c r="F177" s="94">
        <v>1E-3</v>
      </c>
      <c r="G177" s="95">
        <v>12.916</v>
      </c>
      <c r="H177" s="96">
        <v>0.38</v>
      </c>
      <c r="I177" s="97">
        <v>0.5101</v>
      </c>
      <c r="J177" s="95">
        <v>1.4E-2</v>
      </c>
      <c r="K177" s="96">
        <v>0.70935000000000004</v>
      </c>
      <c r="M177" s="99">
        <v>2657</v>
      </c>
      <c r="N177" s="98">
        <v>59</v>
      </c>
      <c r="O177" s="99">
        <v>2696.8</v>
      </c>
      <c r="P177" s="98">
        <v>5.9</v>
      </c>
      <c r="Q177" s="93">
        <v>1.48</v>
      </c>
      <c r="R177" s="97">
        <v>4.1999999999999997E-3</v>
      </c>
      <c r="T177" s="98">
        <v>470</v>
      </c>
      <c r="U177" s="98">
        <v>110</v>
      </c>
      <c r="V177" s="98">
        <v>1.3</v>
      </c>
      <c r="W177" s="98">
        <v>1.4</v>
      </c>
      <c r="X177" s="98">
        <v>0.55000000000000004</v>
      </c>
      <c r="Y177" s="98">
        <v>0.37</v>
      </c>
      <c r="Z177" s="98">
        <v>11.7</v>
      </c>
      <c r="AA177" s="98">
        <v>1.4</v>
      </c>
      <c r="AB177" s="98">
        <v>3.7</v>
      </c>
      <c r="AC177" s="98">
        <v>0.77</v>
      </c>
      <c r="AD177" s="98">
        <v>2200</v>
      </c>
      <c r="AE177" s="98">
        <v>210</v>
      </c>
      <c r="AF177" s="95">
        <v>1.1999999999999999E-3</v>
      </c>
      <c r="AG177" s="97">
        <v>4.8999999999999998E-3</v>
      </c>
      <c r="AH177" s="96">
        <v>13.2</v>
      </c>
      <c r="AI177" s="96">
        <v>1.9</v>
      </c>
      <c r="AJ177" s="95">
        <v>7.9000000000000001E-2</v>
      </c>
      <c r="AK177" s="95">
        <v>2.9000000000000001E-2</v>
      </c>
      <c r="AL177" s="96">
        <v>1.68</v>
      </c>
      <c r="AM177" s="96">
        <v>0.67</v>
      </c>
      <c r="AN177" s="96">
        <v>4</v>
      </c>
      <c r="AO177" s="96">
        <v>1.1000000000000001</v>
      </c>
      <c r="AP177" s="96">
        <v>0.65</v>
      </c>
      <c r="AQ177" s="96">
        <v>0.26</v>
      </c>
      <c r="AR177" s="96">
        <v>38</v>
      </c>
      <c r="AS177" s="93">
        <v>5.9</v>
      </c>
      <c r="AT177" s="96">
        <v>13.6</v>
      </c>
      <c r="AU177" s="96">
        <v>1.7</v>
      </c>
      <c r="AV177" s="99">
        <v>189</v>
      </c>
      <c r="AW177" s="98">
        <v>19</v>
      </c>
      <c r="AX177" s="98">
        <v>73.099999999999994</v>
      </c>
      <c r="AY177" s="98">
        <v>6.4</v>
      </c>
      <c r="AZ177" s="98">
        <v>364</v>
      </c>
      <c r="BA177" s="98">
        <v>26</v>
      </c>
      <c r="BB177" s="98">
        <v>75.8</v>
      </c>
      <c r="BC177" s="98">
        <v>6.3</v>
      </c>
      <c r="BD177" s="98">
        <v>697</v>
      </c>
      <c r="BE177" s="98">
        <v>67</v>
      </c>
      <c r="BF177" s="98">
        <v>135</v>
      </c>
      <c r="BG177" s="98">
        <v>14</v>
      </c>
      <c r="BI177" s="93">
        <v>5.4</v>
      </c>
      <c r="BJ177" s="98">
        <v>2.2000000000000002</v>
      </c>
      <c r="BK177" s="98">
        <v>597000</v>
      </c>
      <c r="BL177" s="98">
        <v>69000</v>
      </c>
      <c r="BM177" s="98">
        <v>11100</v>
      </c>
      <c r="BN177" s="98">
        <v>1000</v>
      </c>
      <c r="BO177" s="99">
        <v>48</v>
      </c>
      <c r="BP177" s="98">
        <v>3.5</v>
      </c>
      <c r="BQ177" s="99">
        <v>94</v>
      </c>
      <c r="BR177" s="98">
        <v>7</v>
      </c>
      <c r="BT177" s="95">
        <f t="shared" ref="BT177:BT222" si="159">BQ177/BD177</f>
        <v>0.13486370157819225</v>
      </c>
      <c r="BU177" s="96">
        <f t="shared" ref="BU177:BU222" si="160">AH177/AL177</f>
        <v>7.8571428571428568</v>
      </c>
      <c r="BV177" s="96">
        <f t="shared" ref="BV177:BV222" si="161">BK177/BM177</f>
        <v>53.783783783783782</v>
      </c>
      <c r="BW177" s="96">
        <f t="shared" ref="BW177:BW222" si="162">BO177/BQ177</f>
        <v>0.51063829787234039</v>
      </c>
      <c r="BX177" s="99">
        <f>CK177/SQRT(CJ177*CL177)</f>
        <v>332.39487270911144</v>
      </c>
      <c r="BY177" s="96">
        <f t="shared" ref="BY177:BY222" si="163">AH177/AL177</f>
        <v>7.8571428571428568</v>
      </c>
      <c r="BZ177" s="97">
        <f t="shared" ref="BZ177:BZ222" si="164">(AH177/AL177)/AD177</f>
        <v>3.5714285714285713E-3</v>
      </c>
      <c r="CA177" s="95">
        <f t="shared" ref="CA177:CA222" si="165">CO177/SQRT(CN177*CP177)</f>
        <v>0.16118150167078685</v>
      </c>
      <c r="CB177" s="99">
        <f t="shared" si="157"/>
        <v>153.83453610329491</v>
      </c>
      <c r="CC177" s="99">
        <f t="shared" si="157"/>
        <v>11.455763326841112</v>
      </c>
      <c r="CD177" s="100">
        <f t="shared" ref="CD177:CD222" si="166">4800/(5.711-LOG(BI177)-LOG(1)+LOG(0.75))-273.15</f>
        <v>715.79289657681079</v>
      </c>
      <c r="CE177" s="100">
        <f>4800/(5.711-LOG(BI177)-LOG(1)+LOG(0.5))-273.15</f>
        <v>753.02247674595503</v>
      </c>
      <c r="CF177" s="100">
        <f t="shared" si="154"/>
        <v>40.979765632352546</v>
      </c>
      <c r="CG177" s="96">
        <f t="shared" ref="CG177:CG199" si="167">2.28+3.99*LOG(AH177/((CB177*BI177)^(1/2)))</f>
        <v>0.92679201143909373</v>
      </c>
      <c r="CH177" s="96">
        <f t="shared" ref="CH177:CH240" si="168">(4*0.1^2+4*0.12^2*LOG((AH177/(CB177*BI177)^0.5)^2)+3.99*(BJ177/2)^2/(BI177^2)+3.99^2*(CC177/2)^2/(CB177^2)+4*3.99*(AI177/2)^2/(AH177^2))^(1/2)</f>
        <v>0.52080130657295309</v>
      </c>
      <c r="CJ177" s="95">
        <f>AF177/CJ$4</f>
        <v>5.0632911392405064E-3</v>
      </c>
      <c r="CK177" s="93">
        <f t="shared" ref="CK177:CK222" si="169">AH177/CK$4</f>
        <v>21.56862745098039</v>
      </c>
      <c r="CL177" s="93">
        <f t="shared" ref="CL177:CL222" si="170">AJ177/CL$4</f>
        <v>0.83157894736842108</v>
      </c>
      <c r="CM177" s="93">
        <f t="shared" ref="CM177:CM222" si="171">AL177/CM$4</f>
        <v>3.597430406852248</v>
      </c>
      <c r="CN177" s="93">
        <f t="shared" ref="CN177:CN222" si="172">AN177/CN$4</f>
        <v>26.143790849673202</v>
      </c>
      <c r="CO177" s="93">
        <f t="shared" ref="CO177:CO222" si="173">AP177/CO$4</f>
        <v>11.206896551724137</v>
      </c>
      <c r="CP177" s="93">
        <f t="shared" ref="CP177:CP222" si="174">AR177/CP$4</f>
        <v>184.91484184914842</v>
      </c>
      <c r="CQ177" s="93">
        <f t="shared" ref="CQ177:CQ222" si="175">AT177/CQ$4</f>
        <v>363.63636363636363</v>
      </c>
      <c r="CR177" s="93">
        <f t="shared" ref="CR177:CR222" si="176">AV177/CR$4</f>
        <v>744.09448818897636</v>
      </c>
      <c r="CS177" s="93">
        <f t="shared" ref="CS177:CS222" si="177">AX177/CS$4</f>
        <v>1291.5194346289752</v>
      </c>
      <c r="CT177" s="93">
        <f t="shared" ref="CT177:CT222" si="178">AZ177/CT$4</f>
        <v>2199.395770392749</v>
      </c>
      <c r="CU177" s="93">
        <f t="shared" ref="CU177:CU222" si="179">BB177/CU$4</f>
        <v>2972.5490196078431</v>
      </c>
      <c r="CV177" s="93">
        <f t="shared" ref="CV177:CV222" si="180">BD177/CV$4</f>
        <v>4100</v>
      </c>
      <c r="CW177" s="93">
        <f t="shared" ref="CW177:CW222" si="181">BF177/CW$4</f>
        <v>5314.9606299212601</v>
      </c>
    </row>
    <row r="178" spans="1:101" s="98" customFormat="1">
      <c r="A178" s="3" t="s">
        <v>400</v>
      </c>
      <c r="B178" s="92" t="s">
        <v>244</v>
      </c>
      <c r="C178" s="3"/>
      <c r="D178" s="93">
        <v>11.006</v>
      </c>
      <c r="E178" s="94">
        <v>0.18479999999999999</v>
      </c>
      <c r="F178" s="94">
        <v>1.6999999999999999E-3</v>
      </c>
      <c r="G178" s="95">
        <v>13.21</v>
      </c>
      <c r="H178" s="96">
        <v>0.41</v>
      </c>
      <c r="I178" s="97">
        <v>0.52190000000000003</v>
      </c>
      <c r="J178" s="95">
        <v>1.4E-2</v>
      </c>
      <c r="K178" s="96">
        <v>0.57055999999999996</v>
      </c>
      <c r="M178" s="99">
        <v>2707</v>
      </c>
      <c r="N178" s="98">
        <v>61</v>
      </c>
      <c r="O178" s="99">
        <v>2696</v>
      </c>
      <c r="P178" s="98">
        <v>10</v>
      </c>
      <c r="Q178" s="93">
        <v>-0.43</v>
      </c>
      <c r="R178" s="97">
        <v>1.2999999999999999E-3</v>
      </c>
      <c r="T178" s="98">
        <v>490</v>
      </c>
      <c r="U178" s="98">
        <v>150</v>
      </c>
      <c r="V178" s="98">
        <v>0.2</v>
      </c>
      <c r="W178" s="98">
        <v>1.3</v>
      </c>
      <c r="X178" s="98">
        <v>0.3</v>
      </c>
      <c r="Y178" s="98">
        <v>0.22</v>
      </c>
      <c r="Z178" s="98">
        <v>4</v>
      </c>
      <c r="AA178" s="98">
        <v>1.1000000000000001</v>
      </c>
      <c r="AB178" s="98">
        <v>1.47</v>
      </c>
      <c r="AC178" s="98">
        <v>0.41</v>
      </c>
      <c r="AD178" s="98">
        <v>1520</v>
      </c>
      <c r="AE178" s="98">
        <v>180</v>
      </c>
      <c r="AF178" s="95">
        <v>6.8000000000000005E-2</v>
      </c>
      <c r="AG178" s="97">
        <v>4.2000000000000003E-2</v>
      </c>
      <c r="AH178" s="96">
        <v>4.7</v>
      </c>
      <c r="AI178" s="96">
        <v>1.1000000000000001</v>
      </c>
      <c r="AJ178" s="95">
        <v>4.1000000000000002E-2</v>
      </c>
      <c r="AK178" s="95">
        <v>2.8000000000000001E-2</v>
      </c>
      <c r="AL178" s="96">
        <v>0.98</v>
      </c>
      <c r="AM178" s="96">
        <v>0.64</v>
      </c>
      <c r="AN178" s="96">
        <v>3.14</v>
      </c>
      <c r="AO178" s="96">
        <v>0.85</v>
      </c>
      <c r="AP178" s="96">
        <v>0.51</v>
      </c>
      <c r="AQ178" s="96">
        <v>0.22</v>
      </c>
      <c r="AR178" s="96">
        <v>29.6</v>
      </c>
      <c r="AS178" s="93">
        <v>5.0999999999999996</v>
      </c>
      <c r="AT178" s="96">
        <v>10.3</v>
      </c>
      <c r="AU178" s="96">
        <v>1.8</v>
      </c>
      <c r="AV178" s="99">
        <v>141</v>
      </c>
      <c r="AW178" s="98">
        <v>18</v>
      </c>
      <c r="AX178" s="98">
        <v>56.4</v>
      </c>
      <c r="AY178" s="98">
        <v>7.3</v>
      </c>
      <c r="AZ178" s="98">
        <v>285</v>
      </c>
      <c r="BA178" s="98">
        <v>35</v>
      </c>
      <c r="BB178" s="98">
        <v>56.9</v>
      </c>
      <c r="BC178" s="98">
        <v>8</v>
      </c>
      <c r="BD178" s="98">
        <v>513</v>
      </c>
      <c r="BE178" s="98">
        <v>50</v>
      </c>
      <c r="BF178" s="98">
        <v>104</v>
      </c>
      <c r="BG178" s="98">
        <v>13</v>
      </c>
      <c r="BI178" s="93">
        <v>3.8</v>
      </c>
      <c r="BJ178" s="98">
        <v>2.5</v>
      </c>
      <c r="BK178" s="98">
        <v>570000</v>
      </c>
      <c r="BL178" s="98">
        <v>61000</v>
      </c>
      <c r="BM178" s="98">
        <v>10700</v>
      </c>
      <c r="BN178" s="98">
        <v>1200</v>
      </c>
      <c r="BO178" s="99">
        <v>21.8</v>
      </c>
      <c r="BP178" s="98">
        <v>3</v>
      </c>
      <c r="BQ178" s="99">
        <v>45.3</v>
      </c>
      <c r="BR178" s="98">
        <v>5.5</v>
      </c>
      <c r="BT178" s="95">
        <f t="shared" si="159"/>
        <v>8.8304093567251454E-2</v>
      </c>
      <c r="BU178" s="96">
        <f t="shared" si="160"/>
        <v>4.795918367346939</v>
      </c>
      <c r="BV178" s="96">
        <f t="shared" si="161"/>
        <v>53.271028037383175</v>
      </c>
      <c r="BW178" s="96">
        <f t="shared" si="162"/>
        <v>0.4812362030905078</v>
      </c>
      <c r="BX178" s="99">
        <f>CK178/SQRT(CJ178*CL178)</f>
        <v>21.824084108819275</v>
      </c>
      <c r="BY178" s="96">
        <f t="shared" si="163"/>
        <v>4.795918367346939</v>
      </c>
      <c r="BZ178" s="97">
        <f t="shared" si="164"/>
        <v>3.1552094522019334E-3</v>
      </c>
      <c r="CA178" s="95">
        <f t="shared" si="165"/>
        <v>0.16172722377951207</v>
      </c>
      <c r="CB178" s="99">
        <f t="shared" si="157"/>
        <v>74.135154100843181</v>
      </c>
      <c r="CC178" s="99">
        <f t="shared" si="157"/>
        <v>9.0009568996608724</v>
      </c>
      <c r="CD178" s="100">
        <f t="shared" si="166"/>
        <v>685.64619939103841</v>
      </c>
      <c r="CE178" s="100">
        <f t="shared" ref="CE178:CE222" si="182">4800/(5.711-LOG(BI178)-LOG(1)+LOG(0.5))-273.15</f>
        <v>720.60046733787181</v>
      </c>
      <c r="CF178" s="100">
        <f t="shared" si="154"/>
        <v>60.906344947522754</v>
      </c>
      <c r="CG178" s="96">
        <f t="shared" si="167"/>
        <v>7.4303909603350871E-2</v>
      </c>
      <c r="CH178" s="96">
        <f t="shared" si="168"/>
        <v>0.82781996578747319</v>
      </c>
      <c r="CJ178" s="95">
        <f>AF178/CJ$4</f>
        <v>0.28691983122362874</v>
      </c>
      <c r="CK178" s="93">
        <f t="shared" si="169"/>
        <v>7.6797385620915035</v>
      </c>
      <c r="CL178" s="93">
        <f t="shared" si="170"/>
        <v>0.43157894736842106</v>
      </c>
      <c r="CM178" s="93">
        <f t="shared" si="171"/>
        <v>2.0985010706638114</v>
      </c>
      <c r="CN178" s="93">
        <f t="shared" si="172"/>
        <v>20.522875816993466</v>
      </c>
      <c r="CO178" s="93">
        <f t="shared" si="173"/>
        <v>8.7931034482758612</v>
      </c>
      <c r="CP178" s="93">
        <f t="shared" si="174"/>
        <v>144.0389294403893</v>
      </c>
      <c r="CQ178" s="93">
        <f t="shared" si="175"/>
        <v>275.40106951871655</v>
      </c>
      <c r="CR178" s="93">
        <f t="shared" si="176"/>
        <v>555.11811023622045</v>
      </c>
      <c r="CS178" s="93">
        <f t="shared" si="177"/>
        <v>996.46643109540639</v>
      </c>
      <c r="CT178" s="93">
        <f t="shared" si="178"/>
        <v>1722.0543806646524</v>
      </c>
      <c r="CU178" s="93">
        <f t="shared" si="179"/>
        <v>2231.372549019608</v>
      </c>
      <c r="CV178" s="93">
        <f t="shared" si="180"/>
        <v>3017.6470588235293</v>
      </c>
      <c r="CW178" s="93">
        <f t="shared" si="181"/>
        <v>4094.4881889763783</v>
      </c>
    </row>
    <row r="179" spans="1:101" s="98" customFormat="1">
      <c r="A179" s="3" t="s">
        <v>401</v>
      </c>
      <c r="B179" s="92" t="s">
        <v>244</v>
      </c>
      <c r="C179" s="3"/>
      <c r="D179" s="93">
        <v>11.005000000000001</v>
      </c>
      <c r="E179" s="94">
        <v>0.1842</v>
      </c>
      <c r="F179" s="94">
        <v>1.5E-3</v>
      </c>
      <c r="G179" s="95">
        <v>12.83</v>
      </c>
      <c r="H179" s="96">
        <v>0.39</v>
      </c>
      <c r="I179" s="97">
        <v>0.50890000000000002</v>
      </c>
      <c r="J179" s="95">
        <v>1.4E-2</v>
      </c>
      <c r="K179" s="96">
        <v>0.35188000000000003</v>
      </c>
      <c r="M179" s="99">
        <v>2652</v>
      </c>
      <c r="N179" s="98">
        <v>59</v>
      </c>
      <c r="O179" s="99">
        <v>2691.3</v>
      </c>
      <c r="P179" s="98">
        <v>8.4</v>
      </c>
      <c r="Q179" s="93">
        <v>1.45</v>
      </c>
      <c r="R179" s="97">
        <v>4.5999999999999999E-3</v>
      </c>
      <c r="T179" s="98">
        <v>210</v>
      </c>
      <c r="U179" s="98">
        <v>140</v>
      </c>
      <c r="V179" s="98" t="s">
        <v>250</v>
      </c>
      <c r="W179" s="98" t="s">
        <v>250</v>
      </c>
      <c r="X179" s="98">
        <v>0.38</v>
      </c>
      <c r="Y179" s="98">
        <v>0.31</v>
      </c>
      <c r="Z179" s="98">
        <v>5.2</v>
      </c>
      <c r="AA179" s="98">
        <v>1.1000000000000001</v>
      </c>
      <c r="AB179" s="98">
        <v>1.65</v>
      </c>
      <c r="AC179" s="98">
        <v>0.61</v>
      </c>
      <c r="AD179" s="98">
        <v>1550</v>
      </c>
      <c r="AE179" s="98">
        <v>160</v>
      </c>
      <c r="AF179" s="95" t="s">
        <v>250</v>
      </c>
      <c r="AG179" s="97" t="s">
        <v>250</v>
      </c>
      <c r="AH179" s="96">
        <v>5.04</v>
      </c>
      <c r="AI179" s="96">
        <v>0.87</v>
      </c>
      <c r="AJ179" s="95">
        <v>2.8000000000000001E-2</v>
      </c>
      <c r="AK179" s="95">
        <v>0.02</v>
      </c>
      <c r="AL179" s="96">
        <v>0.95</v>
      </c>
      <c r="AM179" s="96">
        <v>0.54</v>
      </c>
      <c r="AN179" s="96">
        <v>2.9</v>
      </c>
      <c r="AO179" s="96">
        <v>1.1000000000000001</v>
      </c>
      <c r="AP179" s="96">
        <v>0.36</v>
      </c>
      <c r="AQ179" s="96">
        <v>0.15</v>
      </c>
      <c r="AR179" s="96">
        <v>27.8</v>
      </c>
      <c r="AS179" s="93">
        <v>3.6</v>
      </c>
      <c r="AT179" s="96">
        <v>9.48</v>
      </c>
      <c r="AU179" s="96">
        <v>0.84</v>
      </c>
      <c r="AV179" s="99">
        <v>131</v>
      </c>
      <c r="AW179" s="98">
        <v>10</v>
      </c>
      <c r="AX179" s="98">
        <v>53.2</v>
      </c>
      <c r="AY179" s="98">
        <v>5.4</v>
      </c>
      <c r="AZ179" s="98">
        <v>271</v>
      </c>
      <c r="BA179" s="98">
        <v>22</v>
      </c>
      <c r="BB179" s="98">
        <v>54.2</v>
      </c>
      <c r="BC179" s="98">
        <v>3.4</v>
      </c>
      <c r="BD179" s="98">
        <v>517</v>
      </c>
      <c r="BE179" s="98">
        <v>37</v>
      </c>
      <c r="BF179" s="98">
        <v>104.5</v>
      </c>
      <c r="BG179" s="98">
        <v>9</v>
      </c>
      <c r="BI179" s="93">
        <v>4.5</v>
      </c>
      <c r="BJ179" s="98">
        <v>3.1</v>
      </c>
      <c r="BK179" s="98">
        <v>626000</v>
      </c>
      <c r="BL179" s="98">
        <v>63000</v>
      </c>
      <c r="BM179" s="98">
        <v>11100</v>
      </c>
      <c r="BN179" s="98">
        <v>1200</v>
      </c>
      <c r="BO179" s="99">
        <v>25.8</v>
      </c>
      <c r="BP179" s="98">
        <v>1.8</v>
      </c>
      <c r="BQ179" s="99">
        <v>57.4</v>
      </c>
      <c r="BR179" s="98">
        <v>4</v>
      </c>
      <c r="BT179" s="95">
        <f t="shared" si="159"/>
        <v>0.11102514506769826</v>
      </c>
      <c r="BU179" s="96">
        <f t="shared" si="160"/>
        <v>5.3052631578947373</v>
      </c>
      <c r="BV179" s="96">
        <f t="shared" si="161"/>
        <v>56.396396396396398</v>
      </c>
      <c r="BW179" s="96">
        <f t="shared" si="162"/>
        <v>0.44947735191637633</v>
      </c>
      <c r="BX179" s="99"/>
      <c r="BY179" s="96">
        <f t="shared" si="163"/>
        <v>5.3052631578947373</v>
      </c>
      <c r="BZ179" s="97">
        <f t="shared" si="164"/>
        <v>3.4227504244482175E-3</v>
      </c>
      <c r="CA179" s="95">
        <f t="shared" si="165"/>
        <v>0.12257580068534982</v>
      </c>
      <c r="CB179" s="99">
        <f t="shared" si="157"/>
        <v>93.937259280097109</v>
      </c>
      <c r="CC179" s="99">
        <f t="shared" si="157"/>
        <v>6.546150472480635</v>
      </c>
      <c r="CD179" s="100">
        <f t="shared" si="166"/>
        <v>699.91855402232056</v>
      </c>
      <c r="CE179" s="100">
        <f t="shared" si="182"/>
        <v>735.94075342292217</v>
      </c>
      <c r="CF179" s="100">
        <f t="shared" si="154"/>
        <v>65.536587152959086</v>
      </c>
      <c r="CG179" s="96">
        <f t="shared" si="167"/>
        <v>-0.1562727051921482</v>
      </c>
      <c r="CH179" s="96">
        <f t="shared" si="168"/>
        <v>0.76240417525045379</v>
      </c>
      <c r="CJ179" s="95"/>
      <c r="CK179" s="93">
        <f t="shared" si="169"/>
        <v>8.2352941176470598</v>
      </c>
      <c r="CL179" s="93">
        <f t="shared" si="170"/>
        <v>0.29473684210526319</v>
      </c>
      <c r="CM179" s="93">
        <f t="shared" si="171"/>
        <v>2.0342612419700212</v>
      </c>
      <c r="CN179" s="93">
        <f t="shared" si="172"/>
        <v>18.954248366013072</v>
      </c>
      <c r="CO179" s="93">
        <f t="shared" si="173"/>
        <v>6.206896551724137</v>
      </c>
      <c r="CP179" s="93">
        <f t="shared" si="174"/>
        <v>135.27980535279806</v>
      </c>
      <c r="CQ179" s="93">
        <f t="shared" si="175"/>
        <v>253.475935828877</v>
      </c>
      <c r="CR179" s="93">
        <f t="shared" si="176"/>
        <v>515.74803149606294</v>
      </c>
      <c r="CS179" s="93">
        <f t="shared" si="177"/>
        <v>939.92932862190821</v>
      </c>
      <c r="CT179" s="93">
        <f t="shared" si="178"/>
        <v>1637.4622356495468</v>
      </c>
      <c r="CU179" s="93">
        <f t="shared" si="179"/>
        <v>2125.4901960784318</v>
      </c>
      <c r="CV179" s="93">
        <f t="shared" si="180"/>
        <v>3041.1764705882351</v>
      </c>
      <c r="CW179" s="93">
        <f t="shared" si="181"/>
        <v>4114.1732283464571</v>
      </c>
    </row>
    <row r="180" spans="1:101" s="98" customFormat="1">
      <c r="A180" s="3" t="s">
        <v>402</v>
      </c>
      <c r="B180" s="92" t="s">
        <v>244</v>
      </c>
      <c r="C180" s="3" t="s">
        <v>287</v>
      </c>
      <c r="D180" s="93">
        <v>11.352</v>
      </c>
      <c r="E180" s="94">
        <v>0.183</v>
      </c>
      <c r="F180" s="94">
        <v>2.0999999999999999E-3</v>
      </c>
      <c r="G180" s="95">
        <v>12.71</v>
      </c>
      <c r="H180" s="96">
        <v>0.4</v>
      </c>
      <c r="I180" s="97">
        <v>0.50729999999999997</v>
      </c>
      <c r="J180" s="95">
        <v>1.4E-2</v>
      </c>
      <c r="K180" s="96">
        <v>0.23580000000000001</v>
      </c>
      <c r="M180" s="99">
        <v>2645</v>
      </c>
      <c r="N180" s="98">
        <v>60</v>
      </c>
      <c r="O180" s="99">
        <v>2680</v>
      </c>
      <c r="P180" s="98">
        <v>13</v>
      </c>
      <c r="Q180" s="93">
        <v>1.28</v>
      </c>
      <c r="R180" s="97">
        <v>5.1999999999999998E-3</v>
      </c>
      <c r="T180" s="98">
        <v>350</v>
      </c>
      <c r="U180" s="98">
        <v>160</v>
      </c>
      <c r="V180" s="98" t="s">
        <v>250</v>
      </c>
      <c r="W180" s="98" t="s">
        <v>250</v>
      </c>
      <c r="X180" s="98">
        <v>0.18</v>
      </c>
      <c r="Y180" s="98">
        <v>0.17</v>
      </c>
      <c r="Z180" s="98">
        <v>3.15</v>
      </c>
      <c r="AA180" s="98">
        <v>0.8</v>
      </c>
      <c r="AB180" s="98">
        <v>1.26</v>
      </c>
      <c r="AC180" s="98">
        <v>0.49</v>
      </c>
      <c r="AD180" s="98">
        <v>1140</v>
      </c>
      <c r="AE180" s="98">
        <v>140</v>
      </c>
      <c r="AF180" s="95">
        <v>1.6E-2</v>
      </c>
      <c r="AG180" s="97">
        <v>1.7000000000000001E-2</v>
      </c>
      <c r="AH180" s="96">
        <v>3.33</v>
      </c>
      <c r="AI180" s="96">
        <v>0.86</v>
      </c>
      <c r="AJ180" s="95">
        <v>3.6999999999999998E-2</v>
      </c>
      <c r="AK180" s="95">
        <v>2.5999999999999999E-2</v>
      </c>
      <c r="AL180" s="96">
        <v>1.04</v>
      </c>
      <c r="AM180" s="96">
        <v>0.61</v>
      </c>
      <c r="AN180" s="96">
        <v>3.1</v>
      </c>
      <c r="AO180" s="96">
        <v>1.2</v>
      </c>
      <c r="AP180" s="96">
        <v>0.48</v>
      </c>
      <c r="AQ180" s="96">
        <v>0.21</v>
      </c>
      <c r="AR180" s="96">
        <v>15</v>
      </c>
      <c r="AS180" s="93">
        <v>3.5</v>
      </c>
      <c r="AT180" s="96">
        <v>6.9</v>
      </c>
      <c r="AU180" s="96">
        <v>1.3</v>
      </c>
      <c r="AV180" s="99">
        <v>86.1</v>
      </c>
      <c r="AW180" s="98">
        <v>9.5</v>
      </c>
      <c r="AX180" s="98">
        <v>37.700000000000003</v>
      </c>
      <c r="AY180" s="98">
        <v>4.9000000000000004</v>
      </c>
      <c r="AZ180" s="98">
        <v>198</v>
      </c>
      <c r="BA180" s="98">
        <v>23</v>
      </c>
      <c r="BB180" s="98">
        <v>39.700000000000003</v>
      </c>
      <c r="BC180" s="98">
        <v>5.2</v>
      </c>
      <c r="BD180" s="98">
        <v>389</v>
      </c>
      <c r="BE180" s="98">
        <v>55</v>
      </c>
      <c r="BF180" s="98">
        <v>81</v>
      </c>
      <c r="BG180" s="98">
        <v>11</v>
      </c>
      <c r="BI180" s="93">
        <v>3.9</v>
      </c>
      <c r="BJ180" s="98">
        <v>2.4</v>
      </c>
      <c r="BK180" s="98">
        <v>596000</v>
      </c>
      <c r="BL180" s="98">
        <v>91000</v>
      </c>
      <c r="BM180" s="98">
        <v>9300</v>
      </c>
      <c r="BN180" s="98">
        <v>1200</v>
      </c>
      <c r="BO180" s="99">
        <v>14.2</v>
      </c>
      <c r="BP180" s="98">
        <v>1.4</v>
      </c>
      <c r="BQ180" s="99">
        <v>35.799999999999997</v>
      </c>
      <c r="BR180" s="98">
        <v>3.6</v>
      </c>
      <c r="BT180" s="95">
        <f t="shared" si="159"/>
        <v>9.2030848329048842E-2</v>
      </c>
      <c r="BU180" s="96">
        <f t="shared" si="160"/>
        <v>3.2019230769230771</v>
      </c>
      <c r="BV180" s="96">
        <f t="shared" si="161"/>
        <v>64.086021505376351</v>
      </c>
      <c r="BW180" s="96">
        <f t="shared" si="162"/>
        <v>0.39664804469273746</v>
      </c>
      <c r="BX180" s="99">
        <f>CK180/SQRT(CJ180*CL180)</f>
        <v>33.555825992590059</v>
      </c>
      <c r="BY180" s="96">
        <f t="shared" si="163"/>
        <v>3.2019230769230771</v>
      </c>
      <c r="BZ180" s="97">
        <f t="shared" si="164"/>
        <v>2.8087044534412958E-3</v>
      </c>
      <c r="CA180" s="95">
        <f t="shared" si="165"/>
        <v>0.21519808180948896</v>
      </c>
      <c r="CB180" s="99">
        <f t="shared" si="157"/>
        <v>58.588046728701677</v>
      </c>
      <c r="CC180" s="99">
        <f t="shared" si="157"/>
        <v>5.891535425232572</v>
      </c>
      <c r="CD180" s="100">
        <f t="shared" si="166"/>
        <v>687.81160422515734</v>
      </c>
      <c r="CE180" s="100">
        <f t="shared" si="182"/>
        <v>722.9268274637484</v>
      </c>
      <c r="CF180" s="100">
        <f t="shared" si="154"/>
        <v>57.344237589992318</v>
      </c>
      <c r="CG180" s="96">
        <f t="shared" si="167"/>
        <v>-0.34140039277620549</v>
      </c>
      <c r="CH180" s="96">
        <f t="shared" si="168"/>
        <v>0.80525428304780422</v>
      </c>
      <c r="CJ180" s="95">
        <f>AF180/CJ$4</f>
        <v>6.7510548523206759E-2</v>
      </c>
      <c r="CK180" s="93">
        <f t="shared" si="169"/>
        <v>5.4411764705882355</v>
      </c>
      <c r="CL180" s="93">
        <f t="shared" si="170"/>
        <v>0.38947368421052631</v>
      </c>
      <c r="CM180" s="93">
        <f t="shared" si="171"/>
        <v>2.2269807280513918</v>
      </c>
      <c r="CN180" s="93">
        <f t="shared" si="172"/>
        <v>20.261437908496735</v>
      </c>
      <c r="CO180" s="93">
        <f t="shared" si="173"/>
        <v>8.275862068965516</v>
      </c>
      <c r="CP180" s="93">
        <f t="shared" si="174"/>
        <v>72.992700729927009</v>
      </c>
      <c r="CQ180" s="93">
        <f t="shared" si="175"/>
        <v>184.49197860962568</v>
      </c>
      <c r="CR180" s="93">
        <f t="shared" si="176"/>
        <v>338.97637795275585</v>
      </c>
      <c r="CS180" s="93">
        <f t="shared" si="177"/>
        <v>666.07773851590116</v>
      </c>
      <c r="CT180" s="93">
        <f t="shared" si="178"/>
        <v>1196.3746223564954</v>
      </c>
      <c r="CU180" s="93">
        <f t="shared" si="179"/>
        <v>1556.8627450980393</v>
      </c>
      <c r="CV180" s="93">
        <f t="shared" si="180"/>
        <v>2288.2352941176468</v>
      </c>
      <c r="CW180" s="93">
        <f t="shared" si="181"/>
        <v>3188.9763779527561</v>
      </c>
    </row>
    <row r="181" spans="1:101" s="98" customFormat="1">
      <c r="A181" s="3" t="s">
        <v>403</v>
      </c>
      <c r="B181" s="92" t="s">
        <v>244</v>
      </c>
      <c r="C181" s="3" t="s">
        <v>285</v>
      </c>
      <c r="D181" s="93">
        <v>11.004</v>
      </c>
      <c r="E181" s="94">
        <v>0.18590000000000001</v>
      </c>
      <c r="F181" s="94">
        <v>1.9E-3</v>
      </c>
      <c r="G181" s="95">
        <v>12.8</v>
      </c>
      <c r="H181" s="96">
        <v>0.4</v>
      </c>
      <c r="I181" s="97">
        <v>0.50270000000000004</v>
      </c>
      <c r="J181" s="95">
        <v>1.4E-2</v>
      </c>
      <c r="K181" s="96">
        <v>0.45967999999999998</v>
      </c>
      <c r="M181" s="99">
        <v>2625</v>
      </c>
      <c r="N181" s="98">
        <v>59</v>
      </c>
      <c r="O181" s="99">
        <v>2706</v>
      </c>
      <c r="P181" s="98">
        <v>11</v>
      </c>
      <c r="Q181" s="93">
        <v>2.95</v>
      </c>
      <c r="R181" s="97">
        <v>8.8999999999999999E-3</v>
      </c>
      <c r="T181" s="98">
        <v>280</v>
      </c>
      <c r="U181" s="98">
        <v>130</v>
      </c>
      <c r="V181" s="98">
        <v>1.1000000000000001</v>
      </c>
      <c r="W181" s="98">
        <v>1.8</v>
      </c>
      <c r="X181" s="98">
        <v>0.27</v>
      </c>
      <c r="Y181" s="98">
        <v>0.2</v>
      </c>
      <c r="Z181" s="98">
        <v>2.63</v>
      </c>
      <c r="AA181" s="98">
        <v>0.73</v>
      </c>
      <c r="AB181" s="98">
        <v>0.74</v>
      </c>
      <c r="AC181" s="98">
        <v>0.38</v>
      </c>
      <c r="AD181" s="98">
        <v>2040</v>
      </c>
      <c r="AE181" s="98">
        <v>190</v>
      </c>
      <c r="AF181" s="95">
        <v>1.4E-3</v>
      </c>
      <c r="AG181" s="97">
        <v>5.0000000000000001E-3</v>
      </c>
      <c r="AH181" s="96">
        <v>2.81</v>
      </c>
      <c r="AI181" s="96">
        <v>0.64</v>
      </c>
      <c r="AJ181" s="95">
        <v>8.5000000000000006E-2</v>
      </c>
      <c r="AK181" s="95">
        <v>3.3000000000000002E-2</v>
      </c>
      <c r="AL181" s="96">
        <v>2</v>
      </c>
      <c r="AM181" s="96">
        <v>0.52</v>
      </c>
      <c r="AN181" s="96">
        <v>3.6</v>
      </c>
      <c r="AO181" s="96">
        <v>1.1000000000000001</v>
      </c>
      <c r="AP181" s="96">
        <v>0.74</v>
      </c>
      <c r="AQ181" s="96">
        <v>0.28999999999999998</v>
      </c>
      <c r="AR181" s="96">
        <v>34.6</v>
      </c>
      <c r="AS181" s="93">
        <v>4.2</v>
      </c>
      <c r="AT181" s="96">
        <v>13.3</v>
      </c>
      <c r="AU181" s="96">
        <v>1.8</v>
      </c>
      <c r="AV181" s="99">
        <v>170</v>
      </c>
      <c r="AW181" s="98">
        <v>17</v>
      </c>
      <c r="AX181" s="98">
        <v>67.900000000000006</v>
      </c>
      <c r="AY181" s="98">
        <v>6.7</v>
      </c>
      <c r="AZ181" s="98">
        <v>331</v>
      </c>
      <c r="BA181" s="98">
        <v>33</v>
      </c>
      <c r="BB181" s="98">
        <v>64.400000000000006</v>
      </c>
      <c r="BC181" s="98">
        <v>6.5</v>
      </c>
      <c r="BD181" s="98">
        <v>552</v>
      </c>
      <c r="BE181" s="98">
        <v>38</v>
      </c>
      <c r="BF181" s="98">
        <v>110.9</v>
      </c>
      <c r="BG181" s="98">
        <v>8.6</v>
      </c>
      <c r="BI181" s="93">
        <v>4.3</v>
      </c>
      <c r="BJ181" s="98">
        <v>2.7</v>
      </c>
      <c r="BK181" s="98">
        <v>557000</v>
      </c>
      <c r="BL181" s="98">
        <v>73000</v>
      </c>
      <c r="BM181" s="98">
        <v>8900</v>
      </c>
      <c r="BN181" s="98">
        <v>1000</v>
      </c>
      <c r="BO181" s="99">
        <v>21</v>
      </c>
      <c r="BP181" s="98">
        <v>1.9</v>
      </c>
      <c r="BQ181" s="99">
        <v>41.5</v>
      </c>
      <c r="BR181" s="98">
        <v>3.7</v>
      </c>
      <c r="BT181" s="95">
        <f t="shared" si="159"/>
        <v>7.5181159420289856E-2</v>
      </c>
      <c r="BU181" s="96">
        <f t="shared" si="160"/>
        <v>1.405</v>
      </c>
      <c r="BV181" s="96">
        <f t="shared" si="161"/>
        <v>62.584269662921351</v>
      </c>
      <c r="BW181" s="96">
        <f t="shared" si="162"/>
        <v>0.50602409638554213</v>
      </c>
      <c r="BX181" s="99">
        <f>CK181/SQRT(CJ181*CL181)</f>
        <v>63.156403787149145</v>
      </c>
      <c r="BY181" s="96">
        <f t="shared" si="163"/>
        <v>1.405</v>
      </c>
      <c r="BZ181" s="97">
        <f t="shared" si="164"/>
        <v>6.8872549019607845E-4</v>
      </c>
      <c r="CA181" s="95">
        <f t="shared" si="165"/>
        <v>0.20270574380790204</v>
      </c>
      <c r="CB181" s="99">
        <f t="shared" si="157"/>
        <v>67.916311151986591</v>
      </c>
      <c r="CC181" s="99">
        <f t="shared" si="157"/>
        <v>6.0551891870445873</v>
      </c>
      <c r="CD181" s="100">
        <f t="shared" si="166"/>
        <v>696.03930876541733</v>
      </c>
      <c r="CE181" s="100">
        <f t="shared" si="182"/>
        <v>731.7695946036456</v>
      </c>
      <c r="CF181" s="100">
        <f t="shared" si="154"/>
        <v>59.441642376082207</v>
      </c>
      <c r="CG181" s="96">
        <f t="shared" si="167"/>
        <v>-0.84821966069465748</v>
      </c>
      <c r="CH181" s="96">
        <f t="shared" si="168"/>
        <v>0.76261125086690096</v>
      </c>
      <c r="CJ181" s="95">
        <f>AF181/CJ$4</f>
        <v>5.9071729957805913E-3</v>
      </c>
      <c r="CK181" s="93">
        <f t="shared" si="169"/>
        <v>4.5915032679738568</v>
      </c>
      <c r="CL181" s="93">
        <f t="shared" si="170"/>
        <v>0.89473684210526316</v>
      </c>
      <c r="CM181" s="93">
        <f t="shared" si="171"/>
        <v>4.2826552462526761</v>
      </c>
      <c r="CN181" s="93">
        <f t="shared" si="172"/>
        <v>23.529411764705884</v>
      </c>
      <c r="CO181" s="93">
        <f t="shared" si="173"/>
        <v>12.758620689655171</v>
      </c>
      <c r="CP181" s="93">
        <f t="shared" si="174"/>
        <v>168.36982968369833</v>
      </c>
      <c r="CQ181" s="93">
        <f t="shared" si="175"/>
        <v>355.61497326203209</v>
      </c>
      <c r="CR181" s="93">
        <f t="shared" si="176"/>
        <v>669.29133858267721</v>
      </c>
      <c r="CS181" s="93">
        <f t="shared" si="177"/>
        <v>1199.6466431095407</v>
      </c>
      <c r="CT181" s="93">
        <f t="shared" si="178"/>
        <v>2000</v>
      </c>
      <c r="CU181" s="93">
        <f t="shared" si="179"/>
        <v>2525.4901960784318</v>
      </c>
      <c r="CV181" s="93">
        <f t="shared" si="180"/>
        <v>3247.0588235294117</v>
      </c>
      <c r="CW181" s="93">
        <f t="shared" si="181"/>
        <v>4366.141732283465</v>
      </c>
    </row>
    <row r="182" spans="1:101" s="98" customFormat="1">
      <c r="A182" s="3" t="s">
        <v>404</v>
      </c>
      <c r="B182" s="92" t="s">
        <v>244</v>
      </c>
      <c r="C182" s="3" t="s">
        <v>287</v>
      </c>
      <c r="D182" s="93">
        <v>11.045</v>
      </c>
      <c r="E182" s="94">
        <v>0.18260000000000001</v>
      </c>
      <c r="F182" s="94">
        <v>2.5000000000000001E-3</v>
      </c>
      <c r="G182" s="95">
        <v>12.59</v>
      </c>
      <c r="H182" s="96">
        <v>0.4</v>
      </c>
      <c r="I182" s="97">
        <v>0.50370000000000004</v>
      </c>
      <c r="J182" s="95">
        <v>1.4E-2</v>
      </c>
      <c r="K182" s="96">
        <v>0.13395000000000001</v>
      </c>
      <c r="M182" s="99">
        <v>2630</v>
      </c>
      <c r="N182" s="98">
        <v>59</v>
      </c>
      <c r="O182" s="99">
        <v>2677</v>
      </c>
      <c r="P182" s="98">
        <v>13</v>
      </c>
      <c r="Q182" s="93">
        <v>1.73</v>
      </c>
      <c r="R182" s="97">
        <v>6.7000000000000002E-3</v>
      </c>
      <c r="T182" s="98">
        <v>230</v>
      </c>
      <c r="U182" s="98">
        <v>150</v>
      </c>
      <c r="V182" s="98">
        <v>0.4</v>
      </c>
      <c r="W182" s="98">
        <v>1.4</v>
      </c>
      <c r="X182" s="98">
        <v>0.49</v>
      </c>
      <c r="Y182" s="98">
        <v>0.25</v>
      </c>
      <c r="Z182" s="98">
        <v>2.9</v>
      </c>
      <c r="AA182" s="98">
        <v>1.2</v>
      </c>
      <c r="AB182" s="98">
        <v>0.76</v>
      </c>
      <c r="AC182" s="98">
        <v>0.34</v>
      </c>
      <c r="AD182" s="98">
        <v>703</v>
      </c>
      <c r="AE182" s="98">
        <v>54</v>
      </c>
      <c r="AF182" s="95">
        <v>6.8000000000000005E-2</v>
      </c>
      <c r="AG182" s="97">
        <v>2.1999999999999999E-2</v>
      </c>
      <c r="AH182" s="96">
        <v>3.8</v>
      </c>
      <c r="AI182" s="96">
        <v>1.2</v>
      </c>
      <c r="AJ182" s="95">
        <v>2.5000000000000001E-2</v>
      </c>
      <c r="AK182" s="95">
        <v>1.9E-2</v>
      </c>
      <c r="AL182" s="96">
        <v>0.28000000000000003</v>
      </c>
      <c r="AM182" s="96">
        <v>0.26</v>
      </c>
      <c r="AN182" s="96">
        <v>1.27</v>
      </c>
      <c r="AO182" s="96">
        <v>0.44</v>
      </c>
      <c r="AP182" s="96">
        <v>0.32</v>
      </c>
      <c r="AQ182" s="96">
        <v>0.16</v>
      </c>
      <c r="AR182" s="96">
        <v>9.6999999999999993</v>
      </c>
      <c r="AS182" s="93">
        <v>3</v>
      </c>
      <c r="AT182" s="96">
        <v>3.78</v>
      </c>
      <c r="AU182" s="96">
        <v>0.67</v>
      </c>
      <c r="AV182" s="99">
        <v>58.5</v>
      </c>
      <c r="AW182" s="98">
        <v>7.4</v>
      </c>
      <c r="AX182" s="98">
        <v>25.5</v>
      </c>
      <c r="AY182" s="98">
        <v>2.4</v>
      </c>
      <c r="AZ182" s="98">
        <v>127</v>
      </c>
      <c r="BA182" s="98">
        <v>11</v>
      </c>
      <c r="BB182" s="98">
        <v>26.6</v>
      </c>
      <c r="BC182" s="98">
        <v>1.6</v>
      </c>
      <c r="BD182" s="98">
        <v>244</v>
      </c>
      <c r="BE182" s="98">
        <v>14</v>
      </c>
      <c r="BF182" s="98">
        <v>55.2</v>
      </c>
      <c r="BG182" s="98">
        <v>6.1</v>
      </c>
      <c r="BI182" s="93">
        <v>5.2</v>
      </c>
      <c r="BJ182" s="98">
        <v>2.4</v>
      </c>
      <c r="BK182" s="98">
        <v>540000</v>
      </c>
      <c r="BL182" s="98">
        <v>54000</v>
      </c>
      <c r="BM182" s="98">
        <v>10600</v>
      </c>
      <c r="BN182" s="98">
        <v>1100</v>
      </c>
      <c r="BO182" s="99">
        <v>10.62</v>
      </c>
      <c r="BP182" s="98">
        <v>0.9</v>
      </c>
      <c r="BQ182" s="99">
        <v>28.6</v>
      </c>
      <c r="BR182" s="98">
        <v>2.2999999999999998</v>
      </c>
      <c r="BT182" s="95">
        <f t="shared" si="159"/>
        <v>0.11721311475409836</v>
      </c>
      <c r="BU182" s="96">
        <f t="shared" si="160"/>
        <v>13.571428571428569</v>
      </c>
      <c r="BV182" s="96">
        <f t="shared" si="161"/>
        <v>50.943396226415096</v>
      </c>
      <c r="BW182" s="96">
        <f t="shared" si="162"/>
        <v>0.37132867132867126</v>
      </c>
      <c r="BX182" s="99">
        <f>CK182/SQRT(CJ182*CL182)</f>
        <v>22.596630778060611</v>
      </c>
      <c r="BY182" s="96">
        <f t="shared" si="163"/>
        <v>13.571428571428569</v>
      </c>
      <c r="BZ182" s="97">
        <f t="shared" si="164"/>
        <v>1.9305019305019301E-2</v>
      </c>
      <c r="CA182" s="95">
        <f t="shared" si="165"/>
        <v>0.27873139326339003</v>
      </c>
      <c r="CB182" s="99">
        <f t="shared" si="157"/>
        <v>46.80497587823654</v>
      </c>
      <c r="CC182" s="99">
        <f t="shared" si="157"/>
        <v>3.7640365216763647</v>
      </c>
      <c r="CD182" s="100">
        <f t="shared" si="166"/>
        <v>712.46456128217915</v>
      </c>
      <c r="CE182" s="100">
        <f t="shared" si="182"/>
        <v>749.43928257554785</v>
      </c>
      <c r="CF182" s="100">
        <f t="shared" si="154"/>
        <v>45.750682270743276</v>
      </c>
      <c r="CG182" s="96">
        <f t="shared" si="167"/>
        <v>-0.1673227114368192</v>
      </c>
      <c r="CH182" s="96">
        <f t="shared" si="168"/>
        <v>0.77811339286753112</v>
      </c>
      <c r="CJ182" s="95">
        <f>AF182/CJ$4</f>
        <v>0.28691983122362874</v>
      </c>
      <c r="CK182" s="93">
        <f t="shared" si="169"/>
        <v>6.2091503267973858</v>
      </c>
      <c r="CL182" s="93">
        <f t="shared" si="170"/>
        <v>0.26315789473684209</v>
      </c>
      <c r="CM182" s="93">
        <f t="shared" si="171"/>
        <v>0.59957173447537471</v>
      </c>
      <c r="CN182" s="93">
        <f t="shared" si="172"/>
        <v>8.3006535947712425</v>
      </c>
      <c r="CO182" s="93">
        <f t="shared" si="173"/>
        <v>5.5172413793103443</v>
      </c>
      <c r="CP182" s="93">
        <f t="shared" si="174"/>
        <v>47.201946472019465</v>
      </c>
      <c r="CQ182" s="93">
        <f t="shared" si="175"/>
        <v>101.06951871657753</v>
      </c>
      <c r="CR182" s="93">
        <f t="shared" si="176"/>
        <v>230.31496062992125</v>
      </c>
      <c r="CS182" s="93">
        <f t="shared" si="177"/>
        <v>450.53003533568909</v>
      </c>
      <c r="CT182" s="93">
        <f t="shared" si="178"/>
        <v>767.3716012084592</v>
      </c>
      <c r="CU182" s="93">
        <f t="shared" si="179"/>
        <v>1043.1372549019609</v>
      </c>
      <c r="CV182" s="93">
        <f t="shared" si="180"/>
        <v>1435.2941176470588</v>
      </c>
      <c r="CW182" s="93">
        <f t="shared" si="181"/>
        <v>2173.2283464566931</v>
      </c>
    </row>
    <row r="183" spans="1:101" s="98" customFormat="1">
      <c r="A183" s="3" t="s">
        <v>405</v>
      </c>
      <c r="B183" s="92" t="s">
        <v>244</v>
      </c>
      <c r="C183" s="3" t="s">
        <v>285</v>
      </c>
      <c r="D183" s="93">
        <v>11.02</v>
      </c>
      <c r="E183" s="94">
        <v>0.18490000000000001</v>
      </c>
      <c r="F183" s="94">
        <v>1.6999999999999999E-3</v>
      </c>
      <c r="G183" s="95">
        <v>12.92</v>
      </c>
      <c r="H183" s="96">
        <v>0.39</v>
      </c>
      <c r="I183" s="97">
        <v>0.51039999999999996</v>
      </c>
      <c r="J183" s="95">
        <v>1.4E-2</v>
      </c>
      <c r="K183" s="96">
        <v>0.30929000000000001</v>
      </c>
      <c r="M183" s="99">
        <v>2658.2</v>
      </c>
      <c r="N183" s="98">
        <v>59</v>
      </c>
      <c r="O183" s="99">
        <v>2696</v>
      </c>
      <c r="P183" s="98">
        <v>11</v>
      </c>
      <c r="Q183" s="93">
        <v>1.39</v>
      </c>
      <c r="R183" s="97">
        <v>4.8999999999999998E-3</v>
      </c>
      <c r="T183" s="98">
        <v>310</v>
      </c>
      <c r="U183" s="98">
        <v>130</v>
      </c>
      <c r="V183" s="98">
        <v>0.3</v>
      </c>
      <c r="W183" s="98">
        <v>1.1000000000000001</v>
      </c>
      <c r="X183" s="98">
        <v>0.31</v>
      </c>
      <c r="Y183" s="98">
        <v>0.28000000000000003</v>
      </c>
      <c r="Z183" s="98">
        <v>4.7</v>
      </c>
      <c r="AA183" s="98">
        <v>1.1000000000000001</v>
      </c>
      <c r="AB183" s="98">
        <v>1.46</v>
      </c>
      <c r="AC183" s="98">
        <v>0.45</v>
      </c>
      <c r="AD183" s="98">
        <v>1310</v>
      </c>
      <c r="AE183" s="98">
        <v>110</v>
      </c>
      <c r="AF183" s="95">
        <v>0.192</v>
      </c>
      <c r="AG183" s="97">
        <v>5.7000000000000002E-2</v>
      </c>
      <c r="AH183" s="96">
        <v>6</v>
      </c>
      <c r="AI183" s="96">
        <v>1.2</v>
      </c>
      <c r="AJ183" s="95">
        <v>9.4E-2</v>
      </c>
      <c r="AK183" s="95">
        <v>3.7999999999999999E-2</v>
      </c>
      <c r="AL183" s="96">
        <v>0.81</v>
      </c>
      <c r="AM183" s="96">
        <v>0.35</v>
      </c>
      <c r="AN183" s="96">
        <v>2.2000000000000002</v>
      </c>
      <c r="AO183" s="96">
        <v>1</v>
      </c>
      <c r="AP183" s="96">
        <v>0.48</v>
      </c>
      <c r="AQ183" s="96">
        <v>0.15</v>
      </c>
      <c r="AR183" s="96">
        <v>22.1</v>
      </c>
      <c r="AS183" s="93">
        <v>3.9</v>
      </c>
      <c r="AT183" s="96">
        <v>8.5</v>
      </c>
      <c r="AU183" s="96">
        <v>1.1000000000000001</v>
      </c>
      <c r="AV183" s="99">
        <v>112</v>
      </c>
      <c r="AW183" s="98">
        <v>9.1</v>
      </c>
      <c r="AX183" s="98">
        <v>42.5</v>
      </c>
      <c r="AY183" s="98">
        <v>3</v>
      </c>
      <c r="AZ183" s="98">
        <v>219</v>
      </c>
      <c r="BA183" s="98">
        <v>18</v>
      </c>
      <c r="BB183" s="98">
        <v>46.3</v>
      </c>
      <c r="BC183" s="98">
        <v>4.5</v>
      </c>
      <c r="BD183" s="98">
        <v>431</v>
      </c>
      <c r="BE183" s="98">
        <v>45</v>
      </c>
      <c r="BF183" s="98">
        <v>86.1</v>
      </c>
      <c r="BG183" s="98">
        <v>7.3</v>
      </c>
      <c r="BI183" s="93">
        <v>4.9000000000000004</v>
      </c>
      <c r="BJ183" s="98">
        <v>2.7</v>
      </c>
      <c r="BK183" s="98">
        <v>571000</v>
      </c>
      <c r="BL183" s="98">
        <v>56000</v>
      </c>
      <c r="BM183" s="98">
        <v>9670</v>
      </c>
      <c r="BN183" s="98">
        <v>760</v>
      </c>
      <c r="BO183" s="99">
        <v>20.9</v>
      </c>
      <c r="BP183" s="98">
        <v>1.4</v>
      </c>
      <c r="BQ183" s="99">
        <v>43.2</v>
      </c>
      <c r="BR183" s="98">
        <v>2.9</v>
      </c>
      <c r="BT183" s="95">
        <f t="shared" si="159"/>
        <v>0.10023201856148492</v>
      </c>
      <c r="BU183" s="96">
        <f t="shared" si="160"/>
        <v>7.4074074074074066</v>
      </c>
      <c r="BV183" s="96">
        <f t="shared" si="161"/>
        <v>59.048603929679423</v>
      </c>
      <c r="BW183" s="96">
        <f t="shared" si="162"/>
        <v>0.48379629629629622</v>
      </c>
      <c r="BX183" s="99">
        <f>CK183/SQRT(CJ183*CL183)</f>
        <v>10.950180114245892</v>
      </c>
      <c r="BY183" s="96">
        <f t="shared" si="163"/>
        <v>7.4074074074074066</v>
      </c>
      <c r="BZ183" s="97">
        <f t="shared" si="164"/>
        <v>5.6545094713033638E-3</v>
      </c>
      <c r="CA183" s="95">
        <f t="shared" si="165"/>
        <v>0.21045410199654363</v>
      </c>
      <c r="CB183" s="99">
        <f t="shared" si="157"/>
        <v>70.698425102790864</v>
      </c>
      <c r="CC183" s="99">
        <f t="shared" si="157"/>
        <v>4.7459590925484605</v>
      </c>
      <c r="CD183" s="100">
        <f t="shared" si="166"/>
        <v>707.26915376082059</v>
      </c>
      <c r="CE183" s="100">
        <f t="shared" si="182"/>
        <v>743.8478640882181</v>
      </c>
      <c r="CF183" s="100">
        <f t="shared" si="154"/>
        <v>53.595157908408659</v>
      </c>
      <c r="CG183" s="96">
        <f t="shared" si="167"/>
        <v>0.31830987918407727</v>
      </c>
      <c r="CH183" s="96">
        <f t="shared" si="168"/>
        <v>0.6810005095024001</v>
      </c>
      <c r="CJ183" s="95">
        <f>AF183/CJ$4</f>
        <v>0.81012658227848111</v>
      </c>
      <c r="CK183" s="93">
        <f t="shared" si="169"/>
        <v>9.8039215686274517</v>
      </c>
      <c r="CL183" s="93">
        <f t="shared" si="170"/>
        <v>0.98947368421052628</v>
      </c>
      <c r="CM183" s="93">
        <f t="shared" si="171"/>
        <v>1.734475374732334</v>
      </c>
      <c r="CN183" s="93">
        <f t="shared" si="172"/>
        <v>14.379084967320264</v>
      </c>
      <c r="CO183" s="93">
        <f t="shared" si="173"/>
        <v>8.275862068965516</v>
      </c>
      <c r="CP183" s="93">
        <f t="shared" si="174"/>
        <v>107.54257907542581</v>
      </c>
      <c r="CQ183" s="93">
        <f t="shared" si="175"/>
        <v>227.27272727272725</v>
      </c>
      <c r="CR183" s="93">
        <f t="shared" si="176"/>
        <v>440.94488188976379</v>
      </c>
      <c r="CS183" s="93">
        <f t="shared" si="177"/>
        <v>750.88339222614843</v>
      </c>
      <c r="CT183" s="93">
        <f t="shared" si="178"/>
        <v>1323.2628398791539</v>
      </c>
      <c r="CU183" s="93">
        <f t="shared" si="179"/>
        <v>1815.686274509804</v>
      </c>
      <c r="CV183" s="93">
        <f t="shared" si="180"/>
        <v>2535.2941176470586</v>
      </c>
      <c r="CW183" s="93">
        <f t="shared" si="181"/>
        <v>3389.7637795275591</v>
      </c>
    </row>
    <row r="184" spans="1:101" s="98" customFormat="1">
      <c r="A184" s="3" t="s">
        <v>406</v>
      </c>
      <c r="B184" s="92" t="s">
        <v>244</v>
      </c>
      <c r="C184" s="3"/>
      <c r="D184" s="93">
        <v>11.042999999999999</v>
      </c>
      <c r="E184" s="94">
        <v>0.18437000000000001</v>
      </c>
      <c r="F184" s="94">
        <v>1.1000000000000001E-3</v>
      </c>
      <c r="G184" s="95">
        <v>12.811999999999999</v>
      </c>
      <c r="H184" s="96">
        <v>0.38</v>
      </c>
      <c r="I184" s="97">
        <v>0.50749999999999995</v>
      </c>
      <c r="J184" s="95">
        <v>1.4E-2</v>
      </c>
      <c r="K184" s="96">
        <v>0.51236000000000004</v>
      </c>
      <c r="M184" s="99">
        <v>2645.8</v>
      </c>
      <c r="N184" s="98">
        <v>59</v>
      </c>
      <c r="O184" s="99">
        <v>2693</v>
      </c>
      <c r="P184" s="98">
        <v>5.5</v>
      </c>
      <c r="Q184" s="93">
        <v>1.75</v>
      </c>
      <c r="R184" s="97">
        <v>4.5999999999999999E-3</v>
      </c>
      <c r="T184" s="98">
        <v>340</v>
      </c>
      <c r="U184" s="98">
        <v>120</v>
      </c>
      <c r="V184" s="98" t="s">
        <v>250</v>
      </c>
      <c r="W184" s="98" t="s">
        <v>250</v>
      </c>
      <c r="X184" s="98">
        <v>0.55000000000000004</v>
      </c>
      <c r="Y184" s="98">
        <v>0.34</v>
      </c>
      <c r="Z184" s="98">
        <v>6.8</v>
      </c>
      <c r="AA184" s="98">
        <v>1.6</v>
      </c>
      <c r="AB184" s="98">
        <v>2.76</v>
      </c>
      <c r="AC184" s="98">
        <v>0.63</v>
      </c>
      <c r="AD184" s="98">
        <v>1650</v>
      </c>
      <c r="AE184" s="98">
        <v>140</v>
      </c>
      <c r="AF184" s="95" t="s">
        <v>250</v>
      </c>
      <c r="AG184" s="97" t="s">
        <v>250</v>
      </c>
      <c r="AH184" s="96">
        <v>7.8</v>
      </c>
      <c r="AI184" s="96">
        <v>1</v>
      </c>
      <c r="AJ184" s="95">
        <v>0.06</v>
      </c>
      <c r="AK184" s="95">
        <v>3.5000000000000003E-2</v>
      </c>
      <c r="AL184" s="96">
        <v>1.32</v>
      </c>
      <c r="AM184" s="96">
        <v>0.5</v>
      </c>
      <c r="AN184" s="96">
        <v>2.5</v>
      </c>
      <c r="AO184" s="96">
        <v>1</v>
      </c>
      <c r="AP184" s="96">
        <v>0.56999999999999995</v>
      </c>
      <c r="AQ184" s="96">
        <v>0.26</v>
      </c>
      <c r="AR184" s="96">
        <v>23.5</v>
      </c>
      <c r="AS184" s="93">
        <v>3.9</v>
      </c>
      <c r="AT184" s="96">
        <v>10.74</v>
      </c>
      <c r="AU184" s="96">
        <v>0.96</v>
      </c>
      <c r="AV184" s="99">
        <v>148</v>
      </c>
      <c r="AW184" s="98">
        <v>13</v>
      </c>
      <c r="AX184" s="98">
        <v>57.8</v>
      </c>
      <c r="AY184" s="98">
        <v>4.3</v>
      </c>
      <c r="AZ184" s="98">
        <v>297</v>
      </c>
      <c r="BA184" s="98">
        <v>16</v>
      </c>
      <c r="BB184" s="98">
        <v>59.4</v>
      </c>
      <c r="BC184" s="98">
        <v>5.5</v>
      </c>
      <c r="BD184" s="98">
        <v>519</v>
      </c>
      <c r="BE184" s="98">
        <v>45</v>
      </c>
      <c r="BF184" s="98">
        <v>104.2</v>
      </c>
      <c r="BG184" s="98">
        <v>9.5</v>
      </c>
      <c r="BI184" s="93">
        <v>4.3</v>
      </c>
      <c r="BJ184" s="98">
        <v>1.5</v>
      </c>
      <c r="BK184" s="98">
        <v>558000</v>
      </c>
      <c r="BL184" s="98">
        <v>41000</v>
      </c>
      <c r="BM184" s="98">
        <v>10290</v>
      </c>
      <c r="BN184" s="98">
        <v>810</v>
      </c>
      <c r="BO184" s="99">
        <v>32.299999999999997</v>
      </c>
      <c r="BP184" s="98">
        <v>1.4</v>
      </c>
      <c r="BQ184" s="99">
        <v>63.5</v>
      </c>
      <c r="BR184" s="98">
        <v>2.7</v>
      </c>
      <c r="BT184" s="95">
        <f t="shared" si="159"/>
        <v>0.12235067437379576</v>
      </c>
      <c r="BU184" s="96">
        <f t="shared" si="160"/>
        <v>5.9090909090909083</v>
      </c>
      <c r="BV184" s="96">
        <f t="shared" si="161"/>
        <v>54.227405247813408</v>
      </c>
      <c r="BW184" s="96">
        <f t="shared" si="162"/>
        <v>0.50866141732283465</v>
      </c>
      <c r="BX184" s="99"/>
      <c r="BY184" s="96">
        <f t="shared" si="163"/>
        <v>5.9090909090909083</v>
      </c>
      <c r="BZ184" s="97">
        <f t="shared" si="164"/>
        <v>3.5812672176308534E-3</v>
      </c>
      <c r="CA184" s="95">
        <f t="shared" si="165"/>
        <v>0.22734978882909362</v>
      </c>
      <c r="CB184" s="99">
        <f t="shared" si="157"/>
        <v>103.92013875063007</v>
      </c>
      <c r="CC184" s="99">
        <f t="shared" si="157"/>
        <v>4.418651568924429</v>
      </c>
      <c r="CD184" s="100">
        <f t="shared" si="166"/>
        <v>696.03930876541733</v>
      </c>
      <c r="CE184" s="100">
        <f t="shared" si="182"/>
        <v>731.7695946036456</v>
      </c>
      <c r="CF184" s="100">
        <f t="shared" si="154"/>
        <v>34.222347930065681</v>
      </c>
      <c r="CG184" s="96">
        <f t="shared" si="167"/>
        <v>0.55237195860222399</v>
      </c>
      <c r="CH184" s="96">
        <f t="shared" si="168"/>
        <v>0.42927872852756138</v>
      </c>
      <c r="CJ184" s="95"/>
      <c r="CK184" s="93">
        <f t="shared" si="169"/>
        <v>12.745098039215685</v>
      </c>
      <c r="CL184" s="93">
        <f t="shared" si="170"/>
        <v>0.63157894736842102</v>
      </c>
      <c r="CM184" s="93">
        <f t="shared" si="171"/>
        <v>2.8265524625267666</v>
      </c>
      <c r="CN184" s="93">
        <f t="shared" si="172"/>
        <v>16.33986928104575</v>
      </c>
      <c r="CO184" s="93">
        <f t="shared" si="173"/>
        <v>9.8275862068965498</v>
      </c>
      <c r="CP184" s="93">
        <f t="shared" si="174"/>
        <v>114.35523114355232</v>
      </c>
      <c r="CQ184" s="93">
        <f t="shared" si="175"/>
        <v>287.16577540106948</v>
      </c>
      <c r="CR184" s="93">
        <f t="shared" si="176"/>
        <v>582.67716535433067</v>
      </c>
      <c r="CS184" s="93">
        <f t="shared" si="177"/>
        <v>1021.2014134275619</v>
      </c>
      <c r="CT184" s="93">
        <f t="shared" si="178"/>
        <v>1794.561933534743</v>
      </c>
      <c r="CU184" s="93">
        <f t="shared" si="179"/>
        <v>2329.4117647058824</v>
      </c>
      <c r="CV184" s="93">
        <f t="shared" si="180"/>
        <v>3052.9411764705878</v>
      </c>
      <c r="CW184" s="93">
        <f t="shared" si="181"/>
        <v>4102.3622047244098</v>
      </c>
    </row>
    <row r="185" spans="1:101" s="98" customFormat="1">
      <c r="A185" s="3" t="s">
        <v>407</v>
      </c>
      <c r="B185" s="92" t="s">
        <v>244</v>
      </c>
      <c r="C185" s="3"/>
      <c r="D185" s="93">
        <v>11.007999999999999</v>
      </c>
      <c r="E185" s="94">
        <v>0.1842</v>
      </c>
      <c r="F185" s="94">
        <v>2.3E-3</v>
      </c>
      <c r="G185" s="95">
        <v>12.96</v>
      </c>
      <c r="H185" s="96">
        <v>0.4</v>
      </c>
      <c r="I185" s="97">
        <v>0.51400000000000001</v>
      </c>
      <c r="J185" s="95">
        <v>1.4E-2</v>
      </c>
      <c r="K185" s="96">
        <v>0.1779</v>
      </c>
      <c r="M185" s="99">
        <v>2673</v>
      </c>
      <c r="N185" s="98">
        <v>60</v>
      </c>
      <c r="O185" s="99">
        <v>2694</v>
      </c>
      <c r="P185" s="98">
        <v>14</v>
      </c>
      <c r="Q185" s="93">
        <v>0.6</v>
      </c>
      <c r="R185" s="97">
        <v>4.7999999999999996E-3</v>
      </c>
      <c r="T185" s="98">
        <v>510</v>
      </c>
      <c r="U185" s="98">
        <v>160</v>
      </c>
      <c r="V185" s="98">
        <v>0.3</v>
      </c>
      <c r="W185" s="98">
        <v>1.4</v>
      </c>
      <c r="X185" s="98">
        <v>0.06</v>
      </c>
      <c r="Y185" s="98">
        <v>0.13</v>
      </c>
      <c r="Z185" s="98">
        <v>3.3</v>
      </c>
      <c r="AA185" s="98">
        <v>1.1000000000000001</v>
      </c>
      <c r="AB185" s="98">
        <v>1.37</v>
      </c>
      <c r="AC185" s="98">
        <v>0.76</v>
      </c>
      <c r="AD185" s="98">
        <v>1710</v>
      </c>
      <c r="AE185" s="98">
        <v>290</v>
      </c>
      <c r="AF185" s="95">
        <v>4.4999999999999998E-2</v>
      </c>
      <c r="AG185" s="97">
        <v>1.7999999999999999E-2</v>
      </c>
      <c r="AH185" s="96">
        <v>4.5</v>
      </c>
      <c r="AI185" s="96">
        <v>1</v>
      </c>
      <c r="AJ185" s="95">
        <v>0.03</v>
      </c>
      <c r="AK185" s="95">
        <v>2.1999999999999999E-2</v>
      </c>
      <c r="AL185" s="96">
        <v>0.9</v>
      </c>
      <c r="AM185" s="96">
        <v>0.56000000000000005</v>
      </c>
      <c r="AN185" s="96">
        <v>3.81</v>
      </c>
      <c r="AO185" s="96">
        <v>0.91</v>
      </c>
      <c r="AP185" s="96">
        <v>0.49</v>
      </c>
      <c r="AQ185" s="96">
        <v>0.22</v>
      </c>
      <c r="AR185" s="96">
        <v>27.7</v>
      </c>
      <c r="AS185" s="93">
        <v>5.8</v>
      </c>
      <c r="AT185" s="96">
        <v>10.4</v>
      </c>
      <c r="AU185" s="96">
        <v>1.7</v>
      </c>
      <c r="AV185" s="99">
        <v>148</v>
      </c>
      <c r="AW185" s="98">
        <v>21</v>
      </c>
      <c r="AX185" s="98">
        <v>56.3</v>
      </c>
      <c r="AY185" s="98">
        <v>8</v>
      </c>
      <c r="AZ185" s="98">
        <v>284</v>
      </c>
      <c r="BA185" s="98">
        <v>42</v>
      </c>
      <c r="BB185" s="98">
        <v>57.8</v>
      </c>
      <c r="BC185" s="98">
        <v>9.1</v>
      </c>
      <c r="BD185" s="98">
        <v>534</v>
      </c>
      <c r="BE185" s="98">
        <v>79</v>
      </c>
      <c r="BF185" s="98">
        <v>104</v>
      </c>
      <c r="BG185" s="98">
        <v>15</v>
      </c>
      <c r="BI185" s="93">
        <v>6.2</v>
      </c>
      <c r="BJ185" s="98">
        <v>3.2</v>
      </c>
      <c r="BK185" s="98">
        <v>567000</v>
      </c>
      <c r="BL185" s="98">
        <v>65000</v>
      </c>
      <c r="BM185" s="98">
        <v>10800</v>
      </c>
      <c r="BN185" s="98">
        <v>1300</v>
      </c>
      <c r="BO185" s="99">
        <v>20.5</v>
      </c>
      <c r="BP185" s="98">
        <v>4.0999999999999996</v>
      </c>
      <c r="BQ185" s="99">
        <v>43.3</v>
      </c>
      <c r="BR185" s="98">
        <v>6.7</v>
      </c>
      <c r="BT185" s="95">
        <f t="shared" si="159"/>
        <v>8.1086142322097376E-2</v>
      </c>
      <c r="BU185" s="96">
        <f t="shared" si="160"/>
        <v>5</v>
      </c>
      <c r="BV185" s="96">
        <f t="shared" si="161"/>
        <v>52.5</v>
      </c>
      <c r="BW185" s="96">
        <f t="shared" si="162"/>
        <v>0.47344110854503468</v>
      </c>
      <c r="BX185" s="99">
        <f>CK185/SQRT(CJ185*CL185)</f>
        <v>30.028261070179958</v>
      </c>
      <c r="BY185" s="96">
        <f t="shared" si="163"/>
        <v>5</v>
      </c>
      <c r="BZ185" s="97">
        <f t="shared" si="164"/>
        <v>2.9239766081871343E-3</v>
      </c>
      <c r="CA185" s="95">
        <f t="shared" si="165"/>
        <v>0.14582008350798525</v>
      </c>
      <c r="CB185" s="99">
        <f t="shared" si="157"/>
        <v>70.862078864602864</v>
      </c>
      <c r="CC185" s="99">
        <f t="shared" si="157"/>
        <v>10.964802041405063</v>
      </c>
      <c r="CD185" s="100">
        <f t="shared" si="166"/>
        <v>728.17058040483846</v>
      </c>
      <c r="CE185" s="100">
        <f t="shared" si="182"/>
        <v>766.35592122629635</v>
      </c>
      <c r="CF185" s="100">
        <f t="shared" si="154"/>
        <v>52.43155157724609</v>
      </c>
      <c r="CG185" s="96">
        <f t="shared" si="167"/>
        <v>-0.38607919910438593</v>
      </c>
      <c r="CH185" s="96">
        <f t="shared" si="168"/>
        <v>0.72185692349876973</v>
      </c>
      <c r="CJ185" s="95">
        <f>AF185/CJ$4</f>
        <v>0.189873417721519</v>
      </c>
      <c r="CK185" s="93">
        <f t="shared" si="169"/>
        <v>7.3529411764705888</v>
      </c>
      <c r="CL185" s="93">
        <f t="shared" si="170"/>
        <v>0.31578947368421051</v>
      </c>
      <c r="CM185" s="93">
        <f t="shared" si="171"/>
        <v>1.9271948608137044</v>
      </c>
      <c r="CN185" s="93">
        <f t="shared" si="172"/>
        <v>24.901960784313726</v>
      </c>
      <c r="CO185" s="93">
        <f t="shared" si="173"/>
        <v>8.4482758620689644</v>
      </c>
      <c r="CP185" s="93">
        <f t="shared" si="174"/>
        <v>134.79318734793188</v>
      </c>
      <c r="CQ185" s="93">
        <f t="shared" si="175"/>
        <v>278.07486631016042</v>
      </c>
      <c r="CR185" s="93">
        <f t="shared" si="176"/>
        <v>582.67716535433067</v>
      </c>
      <c r="CS185" s="93">
        <f t="shared" si="177"/>
        <v>994.69964664310953</v>
      </c>
      <c r="CT185" s="93">
        <f t="shared" si="178"/>
        <v>1716.0120845921449</v>
      </c>
      <c r="CU185" s="93">
        <f t="shared" si="179"/>
        <v>2266.6666666666665</v>
      </c>
      <c r="CV185" s="93">
        <f t="shared" si="180"/>
        <v>3141.1764705882351</v>
      </c>
      <c r="CW185" s="93">
        <f t="shared" si="181"/>
        <v>4094.4881889763783</v>
      </c>
    </row>
    <row r="186" spans="1:101" s="98" customFormat="1">
      <c r="A186" s="3" t="s">
        <v>408</v>
      </c>
      <c r="B186" s="92" t="s">
        <v>244</v>
      </c>
      <c r="C186" s="3"/>
      <c r="D186" s="93">
        <v>11.007</v>
      </c>
      <c r="E186" s="94">
        <v>0.18429999999999999</v>
      </c>
      <c r="F186" s="94">
        <v>1.1000000000000001E-3</v>
      </c>
      <c r="G186" s="95">
        <v>12.749000000000001</v>
      </c>
      <c r="H186" s="96">
        <v>0.38</v>
      </c>
      <c r="I186" s="97">
        <v>0.50509999999999999</v>
      </c>
      <c r="J186" s="95">
        <v>1.4E-2</v>
      </c>
      <c r="K186" s="96">
        <v>0.48949999999999999</v>
      </c>
      <c r="M186" s="99">
        <v>2635.9</v>
      </c>
      <c r="N186" s="98">
        <v>58</v>
      </c>
      <c r="O186" s="99">
        <v>2692.5</v>
      </c>
      <c r="P186" s="98">
        <v>5.6</v>
      </c>
      <c r="Q186" s="93">
        <v>2.1</v>
      </c>
      <c r="R186" s="97">
        <v>5.5999999999999999E-3</v>
      </c>
      <c r="T186" s="98">
        <v>360</v>
      </c>
      <c r="U186" s="98">
        <v>93</v>
      </c>
      <c r="V186" s="98" t="s">
        <v>250</v>
      </c>
      <c r="W186" s="98" t="s">
        <v>250</v>
      </c>
      <c r="X186" s="98">
        <v>0.34</v>
      </c>
      <c r="Y186" s="98">
        <v>0.23</v>
      </c>
      <c r="Z186" s="98">
        <v>8</v>
      </c>
      <c r="AA186" s="98">
        <v>1.3</v>
      </c>
      <c r="AB186" s="98">
        <v>3.14</v>
      </c>
      <c r="AC186" s="98">
        <v>0.87</v>
      </c>
      <c r="AD186" s="98">
        <v>2310</v>
      </c>
      <c r="AE186" s="98">
        <v>240</v>
      </c>
      <c r="AF186" s="95" t="s">
        <v>250</v>
      </c>
      <c r="AG186" s="97" t="s">
        <v>250</v>
      </c>
      <c r="AH186" s="96">
        <v>11.2</v>
      </c>
      <c r="AI186" s="96">
        <v>1.3</v>
      </c>
      <c r="AJ186" s="95">
        <v>7.0000000000000007E-2</v>
      </c>
      <c r="AK186" s="95">
        <v>3.7999999999999999E-2</v>
      </c>
      <c r="AL186" s="96">
        <v>1.66</v>
      </c>
      <c r="AM186" s="96">
        <v>0.56000000000000005</v>
      </c>
      <c r="AN186" s="96">
        <v>4.8</v>
      </c>
      <c r="AO186" s="96">
        <v>1.5</v>
      </c>
      <c r="AP186" s="96">
        <v>0.97</v>
      </c>
      <c r="AQ186" s="96">
        <v>0.27</v>
      </c>
      <c r="AR186" s="96">
        <v>36.1</v>
      </c>
      <c r="AS186" s="93">
        <v>5</v>
      </c>
      <c r="AT186" s="96">
        <v>14.6</v>
      </c>
      <c r="AU186" s="96">
        <v>1.3</v>
      </c>
      <c r="AV186" s="99">
        <v>207</v>
      </c>
      <c r="AW186" s="98">
        <v>21</v>
      </c>
      <c r="AX186" s="98">
        <v>77.5</v>
      </c>
      <c r="AY186" s="98">
        <v>7</v>
      </c>
      <c r="AZ186" s="98">
        <v>389</v>
      </c>
      <c r="BA186" s="98">
        <v>36</v>
      </c>
      <c r="BB186" s="98">
        <v>78.2</v>
      </c>
      <c r="BC186" s="98">
        <v>8.3000000000000007</v>
      </c>
      <c r="BD186" s="98">
        <v>689</v>
      </c>
      <c r="BE186" s="98">
        <v>78</v>
      </c>
      <c r="BF186" s="98">
        <v>138</v>
      </c>
      <c r="BG186" s="98">
        <v>14</v>
      </c>
      <c r="BI186" s="93">
        <v>5.4</v>
      </c>
      <c r="BJ186" s="98">
        <v>1.9</v>
      </c>
      <c r="BK186" s="98">
        <v>543000</v>
      </c>
      <c r="BL186" s="98">
        <v>62000</v>
      </c>
      <c r="BM186" s="98">
        <v>9000</v>
      </c>
      <c r="BN186" s="98">
        <v>1100</v>
      </c>
      <c r="BO186" s="99">
        <v>43.8</v>
      </c>
      <c r="BP186" s="98">
        <v>3.6</v>
      </c>
      <c r="BQ186" s="99">
        <v>82.3</v>
      </c>
      <c r="BR186" s="98">
        <v>6.7</v>
      </c>
      <c r="BT186" s="95">
        <f t="shared" si="159"/>
        <v>0.11944847605224963</v>
      </c>
      <c r="BU186" s="96">
        <f t="shared" si="160"/>
        <v>6.7469879518072284</v>
      </c>
      <c r="BV186" s="96">
        <f t="shared" si="161"/>
        <v>60.333333333333336</v>
      </c>
      <c r="BW186" s="96">
        <f t="shared" si="162"/>
        <v>0.53219927095990283</v>
      </c>
      <c r="BX186" s="99"/>
      <c r="BY186" s="96">
        <f t="shared" si="163"/>
        <v>6.7469879518072284</v>
      </c>
      <c r="BZ186" s="97">
        <f t="shared" si="164"/>
        <v>2.9207740051113542E-3</v>
      </c>
      <c r="CA186" s="95">
        <f t="shared" si="165"/>
        <v>0.22527922819640206</v>
      </c>
      <c r="CB186" s="99">
        <f t="shared" si="157"/>
        <v>134.68704597128905</v>
      </c>
      <c r="CC186" s="99">
        <f t="shared" si="157"/>
        <v>10.964802041405063</v>
      </c>
      <c r="CD186" s="100">
        <f t="shared" si="166"/>
        <v>715.79289657681079</v>
      </c>
      <c r="CE186" s="100">
        <f t="shared" si="182"/>
        <v>753.02247674595503</v>
      </c>
      <c r="CF186" s="100">
        <f t="shared" si="154"/>
        <v>35.831206601558762</v>
      </c>
      <c r="CG186" s="96">
        <f t="shared" si="167"/>
        <v>0.75724933306469744</v>
      </c>
      <c r="CH186" s="96">
        <f t="shared" si="168"/>
        <v>0.44683140266197802</v>
      </c>
      <c r="CJ186" s="95"/>
      <c r="CK186" s="93">
        <f t="shared" si="169"/>
        <v>18.300653594771241</v>
      </c>
      <c r="CL186" s="93">
        <f t="shared" si="170"/>
        <v>0.73684210526315796</v>
      </c>
      <c r="CM186" s="93">
        <f t="shared" si="171"/>
        <v>3.5546038543897214</v>
      </c>
      <c r="CN186" s="93">
        <f t="shared" si="172"/>
        <v>31.372549019607842</v>
      </c>
      <c r="CO186" s="93">
        <f t="shared" si="173"/>
        <v>16.72413793103448</v>
      </c>
      <c r="CP186" s="93">
        <f t="shared" si="174"/>
        <v>175.66909975669103</v>
      </c>
      <c r="CQ186" s="93">
        <f t="shared" si="175"/>
        <v>390.37433155080208</v>
      </c>
      <c r="CR186" s="93">
        <f t="shared" si="176"/>
        <v>814.96062992125985</v>
      </c>
      <c r="CS186" s="93">
        <f t="shared" si="177"/>
        <v>1369.2579505300355</v>
      </c>
      <c r="CT186" s="93">
        <f t="shared" si="178"/>
        <v>2350.453172205438</v>
      </c>
      <c r="CU186" s="93">
        <f t="shared" si="179"/>
        <v>3066.666666666667</v>
      </c>
      <c r="CV186" s="93">
        <f t="shared" si="180"/>
        <v>4052.9411764705878</v>
      </c>
      <c r="CW186" s="93">
        <f t="shared" si="181"/>
        <v>5433.0708661417329</v>
      </c>
    </row>
    <row r="187" spans="1:101" s="98" customFormat="1">
      <c r="A187" s="3" t="s">
        <v>409</v>
      </c>
      <c r="B187" s="92" t="s">
        <v>244</v>
      </c>
      <c r="C187" s="3"/>
      <c r="D187" s="93">
        <v>11.023999999999999</v>
      </c>
      <c r="E187" s="94">
        <v>0.18360000000000001</v>
      </c>
      <c r="F187" s="94">
        <v>1.8E-3</v>
      </c>
      <c r="G187" s="95">
        <v>12.91</v>
      </c>
      <c r="H187" s="96">
        <v>0.39</v>
      </c>
      <c r="I187" s="97">
        <v>0.51349999999999996</v>
      </c>
      <c r="J187" s="95">
        <v>1.4E-2</v>
      </c>
      <c r="K187" s="96">
        <v>0.36224000000000001</v>
      </c>
      <c r="M187" s="99">
        <v>2671</v>
      </c>
      <c r="N187" s="98">
        <v>60</v>
      </c>
      <c r="O187" s="99">
        <v>2686.5</v>
      </c>
      <c r="P187" s="98">
        <v>8.8000000000000007</v>
      </c>
      <c r="Q187" s="93">
        <v>0.55000000000000004</v>
      </c>
      <c r="R187" s="97">
        <v>2.5000000000000001E-3</v>
      </c>
      <c r="T187" s="98">
        <v>340</v>
      </c>
      <c r="U187" s="98">
        <v>120</v>
      </c>
      <c r="V187" s="98">
        <v>0.2</v>
      </c>
      <c r="W187" s="98">
        <v>1.7</v>
      </c>
      <c r="X187" s="98">
        <v>0.1</v>
      </c>
      <c r="Y187" s="98">
        <v>0.15</v>
      </c>
      <c r="Z187" s="98">
        <v>3.9</v>
      </c>
      <c r="AA187" s="98">
        <v>1.3</v>
      </c>
      <c r="AB187" s="98">
        <v>1.02</v>
      </c>
      <c r="AC187" s="98">
        <v>0.45</v>
      </c>
      <c r="AD187" s="98">
        <v>2740</v>
      </c>
      <c r="AE187" s="98">
        <v>310</v>
      </c>
      <c r="AF187" s="95">
        <v>8.8999999999999996E-2</v>
      </c>
      <c r="AG187" s="97">
        <v>3.1E-2</v>
      </c>
      <c r="AH187" s="96">
        <v>5</v>
      </c>
      <c r="AI187" s="96">
        <v>1.1000000000000001</v>
      </c>
      <c r="AJ187" s="95">
        <v>0.13800000000000001</v>
      </c>
      <c r="AK187" s="95">
        <v>6.3E-2</v>
      </c>
      <c r="AL187" s="96">
        <v>2.23</v>
      </c>
      <c r="AM187" s="96">
        <v>0.75</v>
      </c>
      <c r="AN187" s="96">
        <v>7.4</v>
      </c>
      <c r="AO187" s="96">
        <v>2.2999999999999998</v>
      </c>
      <c r="AP187" s="96">
        <v>1.52</v>
      </c>
      <c r="AQ187" s="96">
        <v>0.38</v>
      </c>
      <c r="AR187" s="96">
        <v>53.2</v>
      </c>
      <c r="AS187" s="93">
        <v>7.6</v>
      </c>
      <c r="AT187" s="96">
        <v>19.3</v>
      </c>
      <c r="AU187" s="96">
        <v>2.8</v>
      </c>
      <c r="AV187" s="99">
        <v>237</v>
      </c>
      <c r="AW187" s="98">
        <v>23</v>
      </c>
      <c r="AX187" s="98">
        <v>94.5</v>
      </c>
      <c r="AY187" s="98">
        <v>8.9</v>
      </c>
      <c r="AZ187" s="98">
        <v>444</v>
      </c>
      <c r="BA187" s="98">
        <v>48</v>
      </c>
      <c r="BB187" s="98">
        <v>85</v>
      </c>
      <c r="BC187" s="98">
        <v>11</v>
      </c>
      <c r="BD187" s="98">
        <v>716</v>
      </c>
      <c r="BE187" s="98">
        <v>67</v>
      </c>
      <c r="BF187" s="98">
        <v>147</v>
      </c>
      <c r="BG187" s="98">
        <v>18</v>
      </c>
      <c r="BI187" s="93">
        <v>2.2000000000000002</v>
      </c>
      <c r="BJ187" s="98">
        <v>2.1</v>
      </c>
      <c r="BK187" s="98">
        <v>575000</v>
      </c>
      <c r="BL187" s="98">
        <v>65000</v>
      </c>
      <c r="BM187" s="98">
        <v>9120</v>
      </c>
      <c r="BN187" s="98">
        <v>990</v>
      </c>
      <c r="BO187" s="99">
        <v>31.3</v>
      </c>
      <c r="BP187" s="98">
        <v>3.3</v>
      </c>
      <c r="BQ187" s="99">
        <v>53.8</v>
      </c>
      <c r="BR187" s="98">
        <v>5.3</v>
      </c>
      <c r="BT187" s="95">
        <f t="shared" si="159"/>
        <v>7.5139664804469264E-2</v>
      </c>
      <c r="BU187" s="96">
        <f t="shared" si="160"/>
        <v>2.2421524663677128</v>
      </c>
      <c r="BV187" s="96">
        <f t="shared" si="161"/>
        <v>63.048245614035089</v>
      </c>
      <c r="BW187" s="96">
        <f t="shared" si="162"/>
        <v>0.58178438661710041</v>
      </c>
      <c r="BX187" s="99">
        <f>CK187/SQRT(CJ187*CL187)</f>
        <v>11.061652506606324</v>
      </c>
      <c r="BY187" s="96">
        <f t="shared" si="163"/>
        <v>2.2421524663677128</v>
      </c>
      <c r="BZ187" s="97">
        <f t="shared" si="164"/>
        <v>8.1830381984223093E-4</v>
      </c>
      <c r="CA187" s="95">
        <f t="shared" si="165"/>
        <v>0.2342046680075173</v>
      </c>
      <c r="CB187" s="99">
        <f t="shared" si="157"/>
        <v>88.045723854864534</v>
      </c>
      <c r="CC187" s="99">
        <f t="shared" si="157"/>
        <v>8.6736493760368418</v>
      </c>
      <c r="CD187" s="100">
        <f t="shared" si="166"/>
        <v>642.24489696253977</v>
      </c>
      <c r="CE187" s="100">
        <f t="shared" si="182"/>
        <v>674.05378391487886</v>
      </c>
      <c r="CF187" s="100">
        <f t="shared" si="154"/>
        <v>80.112971364693436</v>
      </c>
      <c r="CG187" s="96">
        <f t="shared" si="167"/>
        <v>0.50606407381194063</v>
      </c>
      <c r="CH187" s="96">
        <f t="shared" si="168"/>
        <v>1.0627338019843149</v>
      </c>
      <c r="CJ187" s="95">
        <f>AF187/CJ$4</f>
        <v>0.37552742616033757</v>
      </c>
      <c r="CK187" s="93">
        <f t="shared" si="169"/>
        <v>8.1699346405228752</v>
      </c>
      <c r="CL187" s="93">
        <f t="shared" si="170"/>
        <v>1.4526315789473685</v>
      </c>
      <c r="CM187" s="93">
        <f t="shared" si="171"/>
        <v>4.7751605995717341</v>
      </c>
      <c r="CN187" s="93">
        <f t="shared" si="172"/>
        <v>48.366013071895431</v>
      </c>
      <c r="CO187" s="93">
        <f t="shared" si="173"/>
        <v>26.206896551724135</v>
      </c>
      <c r="CP187" s="93">
        <f t="shared" si="174"/>
        <v>258.8807785888078</v>
      </c>
      <c r="CQ187" s="93">
        <f t="shared" si="175"/>
        <v>516.04278074866306</v>
      </c>
      <c r="CR187" s="93">
        <f t="shared" si="176"/>
        <v>933.07086614173227</v>
      </c>
      <c r="CS187" s="93">
        <f t="shared" si="177"/>
        <v>1669.6113074204948</v>
      </c>
      <c r="CT187" s="93">
        <f t="shared" si="178"/>
        <v>2682.7794561933533</v>
      </c>
      <c r="CU187" s="93">
        <f t="shared" si="179"/>
        <v>3333.3333333333335</v>
      </c>
      <c r="CV187" s="93">
        <f t="shared" si="180"/>
        <v>4211.7647058823522</v>
      </c>
      <c r="CW187" s="93">
        <f t="shared" si="181"/>
        <v>5787.4015748031497</v>
      </c>
    </row>
    <row r="188" spans="1:101" s="98" customFormat="1">
      <c r="A188" s="3" t="s">
        <v>410</v>
      </c>
      <c r="B188" s="92" t="s">
        <v>244</v>
      </c>
      <c r="C188" s="3"/>
      <c r="D188" s="93">
        <v>11.06</v>
      </c>
      <c r="E188" s="94">
        <v>0.18479999999999999</v>
      </c>
      <c r="F188" s="94">
        <v>1.4E-3</v>
      </c>
      <c r="G188" s="95">
        <v>12.98</v>
      </c>
      <c r="H188" s="96">
        <v>0.39</v>
      </c>
      <c r="I188" s="97">
        <v>0.51300000000000001</v>
      </c>
      <c r="J188" s="95">
        <v>1.4E-2</v>
      </c>
      <c r="K188" s="96">
        <v>0.65825</v>
      </c>
      <c r="M188" s="99">
        <v>2669</v>
      </c>
      <c r="N188" s="98">
        <v>60</v>
      </c>
      <c r="O188" s="99">
        <v>2694.5</v>
      </c>
      <c r="P188" s="98">
        <v>6.1</v>
      </c>
      <c r="Q188" s="93">
        <v>0.94</v>
      </c>
      <c r="R188" s="97">
        <v>3.2000000000000002E-3</v>
      </c>
      <c r="T188" s="98">
        <v>371</v>
      </c>
      <c r="U188" s="98">
        <v>88</v>
      </c>
      <c r="V188" s="98" t="s">
        <v>250</v>
      </c>
      <c r="W188" s="98" t="s">
        <v>250</v>
      </c>
      <c r="X188" s="98">
        <v>0.15</v>
      </c>
      <c r="Y188" s="98">
        <v>0.14000000000000001</v>
      </c>
      <c r="Z188" s="98">
        <v>4.7</v>
      </c>
      <c r="AA188" s="98">
        <v>1.1000000000000001</v>
      </c>
      <c r="AB188" s="98">
        <v>1.62</v>
      </c>
      <c r="AC188" s="98">
        <v>0.64</v>
      </c>
      <c r="AD188" s="98">
        <v>1120</v>
      </c>
      <c r="AE188" s="98">
        <v>110</v>
      </c>
      <c r="AF188" s="95" t="s">
        <v>250</v>
      </c>
      <c r="AG188" s="97" t="s">
        <v>250</v>
      </c>
      <c r="AH188" s="96">
        <v>4.7</v>
      </c>
      <c r="AI188" s="96">
        <v>1</v>
      </c>
      <c r="AJ188" s="95">
        <v>1.7999999999999999E-2</v>
      </c>
      <c r="AK188" s="95">
        <v>1.7999999999999999E-2</v>
      </c>
      <c r="AL188" s="96">
        <v>0.43</v>
      </c>
      <c r="AM188" s="96">
        <v>0.28000000000000003</v>
      </c>
      <c r="AN188" s="96">
        <v>2.2400000000000002</v>
      </c>
      <c r="AO188" s="96">
        <v>0.72</v>
      </c>
      <c r="AP188" s="96">
        <v>0.32</v>
      </c>
      <c r="AQ188" s="96">
        <v>0.17</v>
      </c>
      <c r="AR188" s="96">
        <v>15.7</v>
      </c>
      <c r="AS188" s="93">
        <v>2.6</v>
      </c>
      <c r="AT188" s="96">
        <v>6.34</v>
      </c>
      <c r="AU188" s="96">
        <v>0.8</v>
      </c>
      <c r="AV188" s="99">
        <v>89.5</v>
      </c>
      <c r="AW188" s="98">
        <v>8.4</v>
      </c>
      <c r="AX188" s="98">
        <v>38.9</v>
      </c>
      <c r="AY188" s="98">
        <v>3.6</v>
      </c>
      <c r="AZ188" s="98">
        <v>190</v>
      </c>
      <c r="BA188" s="98">
        <v>16</v>
      </c>
      <c r="BB188" s="98">
        <v>37.9</v>
      </c>
      <c r="BC188" s="98">
        <v>3.2</v>
      </c>
      <c r="BD188" s="98">
        <v>353</v>
      </c>
      <c r="BE188" s="98">
        <v>37</v>
      </c>
      <c r="BF188" s="98">
        <v>74</v>
      </c>
      <c r="BG188" s="98">
        <v>8.6999999999999993</v>
      </c>
      <c r="BI188" s="93">
        <v>3.4</v>
      </c>
      <c r="BJ188" s="98">
        <v>2.2000000000000002</v>
      </c>
      <c r="BK188" s="98">
        <v>543000</v>
      </c>
      <c r="BL188" s="98">
        <v>59000</v>
      </c>
      <c r="BM188" s="98">
        <v>9900</v>
      </c>
      <c r="BN188" s="98">
        <v>1000</v>
      </c>
      <c r="BO188" s="99">
        <v>21.3</v>
      </c>
      <c r="BP188" s="98">
        <v>1.6</v>
      </c>
      <c r="BQ188" s="99">
        <v>48</v>
      </c>
      <c r="BR188" s="98">
        <v>3.5</v>
      </c>
      <c r="BT188" s="95">
        <f t="shared" si="159"/>
        <v>0.1359773371104816</v>
      </c>
      <c r="BU188" s="96">
        <f t="shared" si="160"/>
        <v>10.930232558139535</v>
      </c>
      <c r="BV188" s="96">
        <f t="shared" si="161"/>
        <v>54.848484848484851</v>
      </c>
      <c r="BW188" s="96">
        <f t="shared" si="162"/>
        <v>0.44375000000000003</v>
      </c>
      <c r="BX188" s="99"/>
      <c r="BY188" s="96">
        <f t="shared" si="163"/>
        <v>10.930232558139535</v>
      </c>
      <c r="BZ188" s="97">
        <f t="shared" si="164"/>
        <v>9.7591362126245845E-3</v>
      </c>
      <c r="CA188" s="95">
        <f t="shared" si="165"/>
        <v>0.16496802608196162</v>
      </c>
      <c r="CB188" s="99">
        <f t="shared" si="157"/>
        <v>78.553805669767627</v>
      </c>
      <c r="CC188" s="99">
        <f t="shared" si="157"/>
        <v>5.7278816634205558</v>
      </c>
      <c r="CD188" s="100">
        <f t="shared" si="166"/>
        <v>676.4833566445285</v>
      </c>
      <c r="CE188" s="100">
        <f t="shared" si="182"/>
        <v>710.76078596039724</v>
      </c>
      <c r="CF188" s="100">
        <f t="shared" si="154"/>
        <v>58.832256373398849</v>
      </c>
      <c r="CG188" s="96">
        <f t="shared" si="167"/>
        <v>0.12051138980589116</v>
      </c>
      <c r="CH188" s="96">
        <f t="shared" si="168"/>
        <v>0.77270637227987671</v>
      </c>
      <c r="CJ188" s="95"/>
      <c r="CK188" s="93">
        <f t="shared" si="169"/>
        <v>7.6797385620915035</v>
      </c>
      <c r="CL188" s="93">
        <f t="shared" si="170"/>
        <v>0.18947368421052629</v>
      </c>
      <c r="CM188" s="93">
        <f t="shared" si="171"/>
        <v>0.92077087794432544</v>
      </c>
      <c r="CN188" s="93">
        <f t="shared" si="172"/>
        <v>14.640522875816995</v>
      </c>
      <c r="CO188" s="93">
        <f t="shared" si="173"/>
        <v>5.5172413793103443</v>
      </c>
      <c r="CP188" s="93">
        <f t="shared" si="174"/>
        <v>76.399026763990264</v>
      </c>
      <c r="CQ188" s="93">
        <f t="shared" si="175"/>
        <v>169.51871657754009</v>
      </c>
      <c r="CR188" s="93">
        <f t="shared" si="176"/>
        <v>352.36220472440942</v>
      </c>
      <c r="CS188" s="93">
        <f t="shared" si="177"/>
        <v>687.27915194346292</v>
      </c>
      <c r="CT188" s="93">
        <f t="shared" si="178"/>
        <v>1148.0362537764349</v>
      </c>
      <c r="CU188" s="93">
        <f t="shared" si="179"/>
        <v>1486.2745098039215</v>
      </c>
      <c r="CV188" s="93">
        <f t="shared" si="180"/>
        <v>2076.4705882352941</v>
      </c>
      <c r="CW188" s="93">
        <f t="shared" si="181"/>
        <v>2913.3858267716537</v>
      </c>
    </row>
    <row r="189" spans="1:101" s="98" customFormat="1">
      <c r="A189" s="3" t="s">
        <v>411</v>
      </c>
      <c r="B189" s="92" t="s">
        <v>244</v>
      </c>
      <c r="C189" s="3"/>
      <c r="D189" s="93">
        <v>11.007999999999999</v>
      </c>
      <c r="E189" s="94">
        <v>0.18490000000000001</v>
      </c>
      <c r="F189" s="94">
        <v>1.9E-3</v>
      </c>
      <c r="G189" s="95">
        <v>13.08</v>
      </c>
      <c r="H189" s="96">
        <v>0.4</v>
      </c>
      <c r="I189" s="97">
        <v>0.51659999999999995</v>
      </c>
      <c r="J189" s="95">
        <v>1.4E-2</v>
      </c>
      <c r="K189" s="96">
        <v>0.39817000000000002</v>
      </c>
      <c r="M189" s="99">
        <v>2684.8</v>
      </c>
      <c r="N189" s="98">
        <v>60</v>
      </c>
      <c r="O189" s="99">
        <v>2697</v>
      </c>
      <c r="P189" s="98">
        <v>10</v>
      </c>
      <c r="Q189" s="93">
        <v>0.45</v>
      </c>
      <c r="R189" s="97">
        <v>2.2000000000000001E-3</v>
      </c>
      <c r="T189" s="98">
        <v>420</v>
      </c>
      <c r="U189" s="98">
        <v>100</v>
      </c>
      <c r="V189" s="98">
        <v>0.4</v>
      </c>
      <c r="W189" s="98">
        <v>1.8</v>
      </c>
      <c r="X189" s="98" t="s">
        <v>250</v>
      </c>
      <c r="Y189" s="98" t="s">
        <v>250</v>
      </c>
      <c r="Z189" s="98">
        <v>5.8</v>
      </c>
      <c r="AA189" s="98">
        <v>1.3</v>
      </c>
      <c r="AB189" s="98">
        <v>1.78</v>
      </c>
      <c r="AC189" s="98">
        <v>0.5</v>
      </c>
      <c r="AD189" s="98">
        <v>1200</v>
      </c>
      <c r="AE189" s="98">
        <v>140</v>
      </c>
      <c r="AF189" s="95" t="s">
        <v>250</v>
      </c>
      <c r="AG189" s="97" t="s">
        <v>250</v>
      </c>
      <c r="AH189" s="96">
        <v>5.08</v>
      </c>
      <c r="AI189" s="96">
        <v>0.72</v>
      </c>
      <c r="AJ189" s="95">
        <v>1.6E-2</v>
      </c>
      <c r="AK189" s="95">
        <v>1.6E-2</v>
      </c>
      <c r="AL189" s="96">
        <v>0.31</v>
      </c>
      <c r="AM189" s="96">
        <v>0.26</v>
      </c>
      <c r="AN189" s="96">
        <v>1.69</v>
      </c>
      <c r="AO189" s="96">
        <v>0.68</v>
      </c>
      <c r="AP189" s="96">
        <v>0.33</v>
      </c>
      <c r="AQ189" s="96">
        <v>0.14000000000000001</v>
      </c>
      <c r="AR189" s="96">
        <v>17</v>
      </c>
      <c r="AS189" s="93">
        <v>3.2</v>
      </c>
      <c r="AT189" s="96">
        <v>7.35</v>
      </c>
      <c r="AU189" s="96">
        <v>0.89</v>
      </c>
      <c r="AV189" s="99">
        <v>95.2</v>
      </c>
      <c r="AW189" s="98">
        <v>8.1999999999999993</v>
      </c>
      <c r="AX189" s="98">
        <v>38.299999999999997</v>
      </c>
      <c r="AY189" s="98">
        <v>3.8</v>
      </c>
      <c r="AZ189" s="98">
        <v>204</v>
      </c>
      <c r="BA189" s="98">
        <v>18</v>
      </c>
      <c r="BB189" s="98">
        <v>43.4</v>
      </c>
      <c r="BC189" s="98">
        <v>4.2</v>
      </c>
      <c r="BD189" s="98">
        <v>397</v>
      </c>
      <c r="BE189" s="98">
        <v>36</v>
      </c>
      <c r="BF189" s="98">
        <v>85</v>
      </c>
      <c r="BG189" s="98">
        <v>10</v>
      </c>
      <c r="BI189" s="93">
        <v>5.7</v>
      </c>
      <c r="BJ189" s="98">
        <v>2.1</v>
      </c>
      <c r="BK189" s="98">
        <v>559000</v>
      </c>
      <c r="BL189" s="98">
        <v>64000</v>
      </c>
      <c r="BM189" s="98">
        <v>11200</v>
      </c>
      <c r="BN189" s="98">
        <v>1000</v>
      </c>
      <c r="BO189" s="99">
        <v>17.600000000000001</v>
      </c>
      <c r="BP189" s="98">
        <v>1.3</v>
      </c>
      <c r="BQ189" s="99">
        <v>43.7</v>
      </c>
      <c r="BR189" s="98">
        <v>3.3</v>
      </c>
      <c r="BT189" s="95">
        <f t="shared" si="159"/>
        <v>0.11007556675062972</v>
      </c>
      <c r="BU189" s="96">
        <f t="shared" si="160"/>
        <v>16.387096774193548</v>
      </c>
      <c r="BV189" s="96">
        <f t="shared" si="161"/>
        <v>49.910714285714285</v>
      </c>
      <c r="BW189" s="96">
        <f t="shared" si="162"/>
        <v>0.40274599542334094</v>
      </c>
      <c r="BX189" s="99"/>
      <c r="BY189" s="96">
        <f t="shared" si="163"/>
        <v>16.387096774193548</v>
      </c>
      <c r="BZ189" s="97">
        <f t="shared" si="164"/>
        <v>1.3655913978494623E-2</v>
      </c>
      <c r="CA189" s="95">
        <f t="shared" si="165"/>
        <v>0.18822173043717685</v>
      </c>
      <c r="CB189" s="99">
        <f t="shared" si="157"/>
        <v>71.516693911850936</v>
      </c>
      <c r="CC189" s="99">
        <f t="shared" si="157"/>
        <v>5.4005741397965235</v>
      </c>
      <c r="CD189" s="100">
        <f t="shared" si="166"/>
        <v>720.60046733787181</v>
      </c>
      <c r="CE189" s="100">
        <f t="shared" si="182"/>
        <v>758.19977835130214</v>
      </c>
      <c r="CF189" s="100">
        <f t="shared" si="154"/>
        <v>37.705371158569228</v>
      </c>
      <c r="CG189" s="96">
        <f t="shared" si="167"/>
        <v>-0.11111694710380027</v>
      </c>
      <c r="CH189" s="96">
        <f t="shared" si="168"/>
        <v>0.45738969672792262</v>
      </c>
      <c r="CJ189" s="95"/>
      <c r="CK189" s="93">
        <f t="shared" si="169"/>
        <v>8.3006535947712425</v>
      </c>
      <c r="CL189" s="93">
        <f t="shared" si="170"/>
        <v>0.16842105263157894</v>
      </c>
      <c r="CM189" s="93">
        <f t="shared" si="171"/>
        <v>0.66381156316916479</v>
      </c>
      <c r="CN189" s="93">
        <f t="shared" si="172"/>
        <v>11.045751633986928</v>
      </c>
      <c r="CO189" s="93">
        <f t="shared" si="173"/>
        <v>5.6896551724137927</v>
      </c>
      <c r="CP189" s="93">
        <f t="shared" si="174"/>
        <v>82.725060827250616</v>
      </c>
      <c r="CQ189" s="93">
        <f t="shared" si="175"/>
        <v>196.52406417112297</v>
      </c>
      <c r="CR189" s="93">
        <f t="shared" si="176"/>
        <v>374.8031496062992</v>
      </c>
      <c r="CS189" s="93">
        <f t="shared" si="177"/>
        <v>676.67844522968198</v>
      </c>
      <c r="CT189" s="93">
        <f t="shared" si="178"/>
        <v>1232.6283987915408</v>
      </c>
      <c r="CU189" s="93">
        <f t="shared" si="179"/>
        <v>1701.9607843137255</v>
      </c>
      <c r="CV189" s="93">
        <f t="shared" si="180"/>
        <v>2335.2941176470586</v>
      </c>
      <c r="CW189" s="93">
        <f t="shared" si="181"/>
        <v>3346.4566929133862</v>
      </c>
    </row>
    <row r="190" spans="1:101" s="98" customFormat="1">
      <c r="A190" s="3" t="s">
        <v>412</v>
      </c>
      <c r="B190" s="92" t="s">
        <v>244</v>
      </c>
      <c r="C190" s="3" t="s">
        <v>285</v>
      </c>
      <c r="D190" s="93">
        <v>11.082000000000001</v>
      </c>
      <c r="E190" s="94">
        <v>0.18490000000000001</v>
      </c>
      <c r="F190" s="94">
        <v>1.6999999999999999E-3</v>
      </c>
      <c r="G190" s="95">
        <v>13.02</v>
      </c>
      <c r="H190" s="96">
        <v>0.4</v>
      </c>
      <c r="I190" s="97">
        <v>0.51419999999999999</v>
      </c>
      <c r="J190" s="95">
        <v>1.4E-2</v>
      </c>
      <c r="K190" s="96">
        <v>0.51556000000000002</v>
      </c>
      <c r="M190" s="99">
        <v>2674</v>
      </c>
      <c r="N190" s="98">
        <v>60</v>
      </c>
      <c r="O190" s="99">
        <v>2696</v>
      </c>
      <c r="P190" s="98">
        <v>11</v>
      </c>
      <c r="Q190" s="93">
        <v>0.8</v>
      </c>
      <c r="R190" s="97">
        <v>4.0000000000000001E-3</v>
      </c>
      <c r="T190" s="98">
        <v>230</v>
      </c>
      <c r="U190" s="98">
        <v>180</v>
      </c>
      <c r="V190" s="98" t="s">
        <v>250</v>
      </c>
      <c r="W190" s="98" t="s">
        <v>250</v>
      </c>
      <c r="X190" s="98">
        <v>0.12</v>
      </c>
      <c r="Y190" s="98">
        <v>0.13</v>
      </c>
      <c r="Z190" s="98">
        <v>4.5999999999999996</v>
      </c>
      <c r="AA190" s="98">
        <v>1.2</v>
      </c>
      <c r="AB190" s="98">
        <v>1.72</v>
      </c>
      <c r="AC190" s="98">
        <v>0.69</v>
      </c>
      <c r="AD190" s="98">
        <v>1610</v>
      </c>
      <c r="AE190" s="98">
        <v>200</v>
      </c>
      <c r="AF190" s="95">
        <v>2.8E-3</v>
      </c>
      <c r="AG190" s="97">
        <v>7.7000000000000002E-3</v>
      </c>
      <c r="AH190" s="96">
        <v>3.53</v>
      </c>
      <c r="AI190" s="96">
        <v>0.88</v>
      </c>
      <c r="AJ190" s="95">
        <v>6.0999999999999999E-2</v>
      </c>
      <c r="AK190" s="95">
        <v>3.2000000000000001E-2</v>
      </c>
      <c r="AL190" s="96">
        <v>0.84</v>
      </c>
      <c r="AM190" s="96">
        <v>0.6</v>
      </c>
      <c r="AN190" s="96">
        <v>3.6</v>
      </c>
      <c r="AO190" s="96">
        <v>1.3</v>
      </c>
      <c r="AP190" s="96">
        <v>0.75</v>
      </c>
      <c r="AQ190" s="96">
        <v>0.22</v>
      </c>
      <c r="AR190" s="96">
        <v>22.7</v>
      </c>
      <c r="AS190" s="93">
        <v>4.8</v>
      </c>
      <c r="AT190" s="96">
        <v>10</v>
      </c>
      <c r="AU190" s="96">
        <v>1.4</v>
      </c>
      <c r="AV190" s="99">
        <v>130</v>
      </c>
      <c r="AW190" s="98">
        <v>14</v>
      </c>
      <c r="AX190" s="98">
        <v>55.4</v>
      </c>
      <c r="AY190" s="98">
        <v>5.5</v>
      </c>
      <c r="AZ190" s="98">
        <v>270</v>
      </c>
      <c r="BA190" s="98">
        <v>27</v>
      </c>
      <c r="BB190" s="98">
        <v>56.4</v>
      </c>
      <c r="BC190" s="98">
        <v>6.3</v>
      </c>
      <c r="BD190" s="98">
        <v>503</v>
      </c>
      <c r="BE190" s="98">
        <v>56</v>
      </c>
      <c r="BF190" s="98">
        <v>99.6</v>
      </c>
      <c r="BG190" s="98">
        <v>9.9</v>
      </c>
      <c r="BI190" s="93">
        <v>1.9</v>
      </c>
      <c r="BJ190" s="98">
        <v>2.1</v>
      </c>
      <c r="BK190" s="98">
        <v>613000</v>
      </c>
      <c r="BL190" s="98">
        <v>69000</v>
      </c>
      <c r="BM190" s="98">
        <v>10000</v>
      </c>
      <c r="BN190" s="98">
        <v>1100</v>
      </c>
      <c r="BO190" s="99">
        <v>18</v>
      </c>
      <c r="BP190" s="98">
        <v>1.8</v>
      </c>
      <c r="BQ190" s="99">
        <v>45.3</v>
      </c>
      <c r="BR190" s="98">
        <v>4.5</v>
      </c>
      <c r="BT190" s="95">
        <f t="shared" si="159"/>
        <v>9.0059642147117286E-2</v>
      </c>
      <c r="BU190" s="96">
        <f t="shared" si="160"/>
        <v>4.2023809523809526</v>
      </c>
      <c r="BV190" s="96">
        <f t="shared" si="161"/>
        <v>61.3</v>
      </c>
      <c r="BW190" s="96">
        <f t="shared" si="162"/>
        <v>0.39735099337748347</v>
      </c>
      <c r="BX190" s="99">
        <f>CK190/SQRT(CJ190*CL190)</f>
        <v>66.223987291565351</v>
      </c>
      <c r="BY190" s="96">
        <f t="shared" si="163"/>
        <v>4.2023809523809526</v>
      </c>
      <c r="BZ190" s="97">
        <f t="shared" si="164"/>
        <v>2.6101745045844426E-3</v>
      </c>
      <c r="CA190" s="95">
        <f t="shared" si="165"/>
        <v>0.25364173739981383</v>
      </c>
      <c r="CB190" s="99">
        <f t="shared" si="157"/>
        <v>74.135154100843181</v>
      </c>
      <c r="CC190" s="99">
        <f t="shared" si="157"/>
        <v>7.3644192815407141</v>
      </c>
      <c r="CD190" s="100">
        <f t="shared" si="166"/>
        <v>631.26336837711267</v>
      </c>
      <c r="CE190" s="100">
        <f t="shared" si="182"/>
        <v>662.30070460002275</v>
      </c>
      <c r="CF190" s="100">
        <f t="shared" si="154"/>
        <v>90.429018171727037</v>
      </c>
      <c r="CG190" s="96">
        <f t="shared" si="167"/>
        <v>0.1788093722868922</v>
      </c>
      <c r="CH190" s="96">
        <f t="shared" si="168"/>
        <v>1.2186573055105463</v>
      </c>
      <c r="CJ190" s="95">
        <f>AF190/CJ$4</f>
        <v>1.1814345991561183E-2</v>
      </c>
      <c r="CK190" s="93">
        <f t="shared" si="169"/>
        <v>5.7679738562091503</v>
      </c>
      <c r="CL190" s="93">
        <f t="shared" si="170"/>
        <v>0.64210526315789473</v>
      </c>
      <c r="CM190" s="93">
        <f t="shared" si="171"/>
        <v>1.798715203426124</v>
      </c>
      <c r="CN190" s="93">
        <f t="shared" si="172"/>
        <v>23.529411764705884</v>
      </c>
      <c r="CO190" s="93">
        <f t="shared" si="173"/>
        <v>12.931034482758619</v>
      </c>
      <c r="CP190" s="93">
        <f t="shared" si="174"/>
        <v>110.46228710462287</v>
      </c>
      <c r="CQ190" s="93">
        <f t="shared" si="175"/>
        <v>267.37967914438502</v>
      </c>
      <c r="CR190" s="93">
        <f t="shared" si="176"/>
        <v>511.81102362204723</v>
      </c>
      <c r="CS190" s="93">
        <f t="shared" si="177"/>
        <v>978.79858657243813</v>
      </c>
      <c r="CT190" s="93">
        <f t="shared" si="178"/>
        <v>1631.4199395770393</v>
      </c>
      <c r="CU190" s="93">
        <f t="shared" si="179"/>
        <v>2211.7647058823532</v>
      </c>
      <c r="CV190" s="93">
        <f t="shared" si="180"/>
        <v>2958.8235294117644</v>
      </c>
      <c r="CW190" s="93">
        <f t="shared" si="181"/>
        <v>3921.2598425196848</v>
      </c>
    </row>
    <row r="191" spans="1:101" s="98" customFormat="1">
      <c r="A191" s="3" t="s">
        <v>413</v>
      </c>
      <c r="B191" s="92" t="s">
        <v>244</v>
      </c>
      <c r="C191" s="3"/>
      <c r="D191" s="93">
        <v>11.010999999999999</v>
      </c>
      <c r="E191" s="94">
        <v>0.185</v>
      </c>
      <c r="F191" s="94">
        <v>1.4E-3</v>
      </c>
      <c r="G191" s="95">
        <v>13.048</v>
      </c>
      <c r="H191" s="96">
        <v>0.39</v>
      </c>
      <c r="I191" s="97">
        <v>0.51500000000000001</v>
      </c>
      <c r="J191" s="95">
        <v>1.4E-2</v>
      </c>
      <c r="K191" s="96">
        <v>0.27406999999999998</v>
      </c>
      <c r="M191" s="99">
        <v>2678.1</v>
      </c>
      <c r="N191" s="98">
        <v>59</v>
      </c>
      <c r="O191" s="99">
        <v>2698.1</v>
      </c>
      <c r="P191" s="98">
        <v>6.3</v>
      </c>
      <c r="Q191" s="93">
        <v>0.74</v>
      </c>
      <c r="R191" s="97">
        <v>3.2000000000000002E-3</v>
      </c>
      <c r="T191" s="98">
        <v>340</v>
      </c>
      <c r="U191" s="98">
        <v>110</v>
      </c>
      <c r="V191" s="98" t="s">
        <v>250</v>
      </c>
      <c r="W191" s="98" t="s">
        <v>250</v>
      </c>
      <c r="X191" s="98">
        <v>0.27</v>
      </c>
      <c r="Y191" s="98">
        <v>0.22</v>
      </c>
      <c r="Z191" s="98">
        <v>6.3</v>
      </c>
      <c r="AA191" s="98">
        <v>1.6</v>
      </c>
      <c r="AB191" s="98">
        <v>1.9</v>
      </c>
      <c r="AC191" s="98">
        <v>0.56999999999999995</v>
      </c>
      <c r="AD191" s="98">
        <v>2400</v>
      </c>
      <c r="AE191" s="98">
        <v>300</v>
      </c>
      <c r="AF191" s="95">
        <v>0.106</v>
      </c>
      <c r="AG191" s="97">
        <v>2.8000000000000001E-2</v>
      </c>
      <c r="AH191" s="96">
        <v>6.9</v>
      </c>
      <c r="AI191" s="96">
        <v>1.1000000000000001</v>
      </c>
      <c r="AJ191" s="95">
        <v>8.8999999999999996E-2</v>
      </c>
      <c r="AK191" s="95">
        <v>5.2999999999999999E-2</v>
      </c>
      <c r="AL191" s="96">
        <v>1.76</v>
      </c>
      <c r="AM191" s="96">
        <v>0.47</v>
      </c>
      <c r="AN191" s="96">
        <v>7.2</v>
      </c>
      <c r="AO191" s="96">
        <v>1.2</v>
      </c>
      <c r="AP191" s="96">
        <v>0.8</v>
      </c>
      <c r="AQ191" s="96">
        <v>0.25</v>
      </c>
      <c r="AR191" s="96">
        <v>42</v>
      </c>
      <c r="AS191" s="93">
        <v>7.2</v>
      </c>
      <c r="AT191" s="96">
        <v>14.6</v>
      </c>
      <c r="AU191" s="96">
        <v>1.5</v>
      </c>
      <c r="AV191" s="99">
        <v>205</v>
      </c>
      <c r="AW191" s="98">
        <v>30</v>
      </c>
      <c r="AX191" s="98">
        <v>77.2</v>
      </c>
      <c r="AY191" s="98">
        <v>8.5</v>
      </c>
      <c r="AZ191" s="98">
        <v>389</v>
      </c>
      <c r="BA191" s="98">
        <v>41</v>
      </c>
      <c r="BB191" s="98">
        <v>79.900000000000006</v>
      </c>
      <c r="BC191" s="98">
        <v>9.6999999999999993</v>
      </c>
      <c r="BD191" s="98">
        <v>711</v>
      </c>
      <c r="BE191" s="98">
        <v>79</v>
      </c>
      <c r="BF191" s="98">
        <v>141</v>
      </c>
      <c r="BG191" s="98">
        <v>16</v>
      </c>
      <c r="BI191" s="93">
        <v>4.4000000000000004</v>
      </c>
      <c r="BJ191" s="98">
        <v>2.2999999999999998</v>
      </c>
      <c r="BK191" s="98">
        <v>601000</v>
      </c>
      <c r="BL191" s="98">
        <v>80000</v>
      </c>
      <c r="BM191" s="98">
        <v>10900</v>
      </c>
      <c r="BN191" s="98">
        <v>1400</v>
      </c>
      <c r="BO191" s="99">
        <v>39.799999999999997</v>
      </c>
      <c r="BP191" s="98">
        <v>4</v>
      </c>
      <c r="BQ191" s="99">
        <v>69.8</v>
      </c>
      <c r="BR191" s="98">
        <v>6.9</v>
      </c>
      <c r="BT191" s="95">
        <f t="shared" si="159"/>
        <v>9.817158931082981E-2</v>
      </c>
      <c r="BU191" s="96">
        <f t="shared" si="160"/>
        <v>3.9204545454545459</v>
      </c>
      <c r="BV191" s="96">
        <f t="shared" si="161"/>
        <v>55.137614678899084</v>
      </c>
      <c r="BW191" s="96">
        <f t="shared" si="162"/>
        <v>0.57020057306590255</v>
      </c>
      <c r="BX191" s="99">
        <f>CK191/SQRT(CJ191*CL191)</f>
        <v>17.417495551512204</v>
      </c>
      <c r="BY191" s="96">
        <f t="shared" si="163"/>
        <v>3.9204545454545459</v>
      </c>
      <c r="BZ191" s="97">
        <f t="shared" si="164"/>
        <v>1.6335227272727274E-3</v>
      </c>
      <c r="CA191" s="95">
        <f t="shared" si="165"/>
        <v>0.14064449192998249</v>
      </c>
      <c r="CB191" s="99">
        <f t="shared" si="157"/>
        <v>114.23032574478708</v>
      </c>
      <c r="CC191" s="99">
        <f t="shared" si="157"/>
        <v>11.292109565029095</v>
      </c>
      <c r="CD191" s="100">
        <f t="shared" si="166"/>
        <v>697.99710088852146</v>
      </c>
      <c r="CE191" s="100">
        <f t="shared" si="182"/>
        <v>733.87455689283581</v>
      </c>
      <c r="CF191" s="100">
        <f t="shared" si="154"/>
        <v>50.038893993059816</v>
      </c>
      <c r="CG191" s="96">
        <f t="shared" si="167"/>
        <v>0.23804585902447206</v>
      </c>
      <c r="CH191" s="96">
        <f t="shared" si="168"/>
        <v>0.62761719406393457</v>
      </c>
      <c r="CJ191" s="95">
        <f>AF191/CJ$4</f>
        <v>0.44725738396624476</v>
      </c>
      <c r="CK191" s="93">
        <f t="shared" si="169"/>
        <v>11.274509803921569</v>
      </c>
      <c r="CL191" s="93">
        <f t="shared" si="170"/>
        <v>0.93684210526315781</v>
      </c>
      <c r="CM191" s="93">
        <f t="shared" si="171"/>
        <v>3.768736616702355</v>
      </c>
      <c r="CN191" s="93">
        <f t="shared" si="172"/>
        <v>47.058823529411768</v>
      </c>
      <c r="CO191" s="93">
        <f t="shared" si="173"/>
        <v>13.793103448275863</v>
      </c>
      <c r="CP191" s="93">
        <f t="shared" si="174"/>
        <v>204.37956204379563</v>
      </c>
      <c r="CQ191" s="93">
        <f t="shared" si="175"/>
        <v>390.37433155080208</v>
      </c>
      <c r="CR191" s="93">
        <f t="shared" si="176"/>
        <v>807.08661417322833</v>
      </c>
      <c r="CS191" s="93">
        <f t="shared" si="177"/>
        <v>1363.9575971731449</v>
      </c>
      <c r="CT191" s="93">
        <f t="shared" si="178"/>
        <v>2350.453172205438</v>
      </c>
      <c r="CU191" s="93">
        <f t="shared" si="179"/>
        <v>3133.3333333333339</v>
      </c>
      <c r="CV191" s="93">
        <f t="shared" si="180"/>
        <v>4182.3529411764703</v>
      </c>
      <c r="CW191" s="93">
        <f t="shared" si="181"/>
        <v>5551.1811023622049</v>
      </c>
    </row>
    <row r="192" spans="1:101" s="98" customFormat="1">
      <c r="A192" s="3" t="s">
        <v>414</v>
      </c>
      <c r="B192" s="92" t="s">
        <v>244</v>
      </c>
      <c r="C192" s="3"/>
      <c r="D192" s="93">
        <v>11.026</v>
      </c>
      <c r="E192" s="94">
        <v>0.1855</v>
      </c>
      <c r="F192" s="94">
        <v>1.4E-3</v>
      </c>
      <c r="G192" s="95">
        <v>12.984999999999999</v>
      </c>
      <c r="H192" s="96">
        <v>0.39</v>
      </c>
      <c r="I192" s="97">
        <v>0.5111</v>
      </c>
      <c r="J192" s="95">
        <v>1.4E-2</v>
      </c>
      <c r="K192" s="96">
        <v>0.26855000000000001</v>
      </c>
      <c r="M192" s="99">
        <v>2661.2</v>
      </c>
      <c r="N192" s="98">
        <v>59</v>
      </c>
      <c r="O192" s="99">
        <v>2703</v>
      </c>
      <c r="P192" s="98">
        <v>7.8</v>
      </c>
      <c r="Q192" s="93">
        <v>1.54</v>
      </c>
      <c r="R192" s="97">
        <v>4.1000000000000003E-3</v>
      </c>
      <c r="T192" s="98">
        <v>260</v>
      </c>
      <c r="U192" s="98">
        <v>120</v>
      </c>
      <c r="V192" s="98" t="s">
        <v>250</v>
      </c>
      <c r="W192" s="98" t="s">
        <v>250</v>
      </c>
      <c r="X192" s="98">
        <v>0.34</v>
      </c>
      <c r="Y192" s="98">
        <v>0.21</v>
      </c>
      <c r="Z192" s="98">
        <v>3.25</v>
      </c>
      <c r="AA192" s="98">
        <v>0.92</v>
      </c>
      <c r="AB192" s="98">
        <v>1.59</v>
      </c>
      <c r="AC192" s="98">
        <v>0.35</v>
      </c>
      <c r="AD192" s="98">
        <v>2340</v>
      </c>
      <c r="AE192" s="98">
        <v>220</v>
      </c>
      <c r="AF192" s="95">
        <v>5.1999999999999998E-2</v>
      </c>
      <c r="AG192" s="97">
        <v>2.5000000000000001E-2</v>
      </c>
      <c r="AH192" s="96">
        <v>5.47</v>
      </c>
      <c r="AI192" s="96">
        <v>0.77</v>
      </c>
      <c r="AJ192" s="95">
        <v>7.9000000000000001E-2</v>
      </c>
      <c r="AK192" s="95">
        <v>3.1E-2</v>
      </c>
      <c r="AL192" s="96">
        <v>2.5499999999999998</v>
      </c>
      <c r="AM192" s="96">
        <v>0.55000000000000004</v>
      </c>
      <c r="AN192" s="96">
        <v>6</v>
      </c>
      <c r="AO192" s="96">
        <v>1.7</v>
      </c>
      <c r="AP192" s="96">
        <v>1.02</v>
      </c>
      <c r="AQ192" s="96">
        <v>0.37</v>
      </c>
      <c r="AR192" s="96">
        <v>39.700000000000003</v>
      </c>
      <c r="AS192" s="93">
        <v>6</v>
      </c>
      <c r="AT192" s="96">
        <v>15.3</v>
      </c>
      <c r="AU192" s="96">
        <v>1.9</v>
      </c>
      <c r="AV192" s="99">
        <v>202</v>
      </c>
      <c r="AW192" s="98">
        <v>19</v>
      </c>
      <c r="AX192" s="98">
        <v>79.8</v>
      </c>
      <c r="AY192" s="98">
        <v>8.1999999999999993</v>
      </c>
      <c r="AZ192" s="98">
        <v>389</v>
      </c>
      <c r="BA192" s="98">
        <v>47</v>
      </c>
      <c r="BB192" s="98">
        <v>74.5</v>
      </c>
      <c r="BC192" s="98">
        <v>8.3000000000000007</v>
      </c>
      <c r="BD192" s="98">
        <v>641</v>
      </c>
      <c r="BE192" s="98">
        <v>79</v>
      </c>
      <c r="BF192" s="98">
        <v>129</v>
      </c>
      <c r="BG192" s="98">
        <v>15</v>
      </c>
      <c r="BI192" s="93">
        <v>2.4</v>
      </c>
      <c r="BJ192" s="98">
        <v>2.5</v>
      </c>
      <c r="BK192" s="98">
        <v>567000</v>
      </c>
      <c r="BL192" s="98">
        <v>69000</v>
      </c>
      <c r="BM192" s="98">
        <v>10800</v>
      </c>
      <c r="BN192" s="98">
        <v>1300</v>
      </c>
      <c r="BO192" s="99">
        <v>30.2</v>
      </c>
      <c r="BP192" s="98">
        <v>2.8</v>
      </c>
      <c r="BQ192" s="99">
        <v>53</v>
      </c>
      <c r="BR192" s="98">
        <v>5</v>
      </c>
      <c r="BT192" s="95">
        <f t="shared" si="159"/>
        <v>8.2683307332293288E-2</v>
      </c>
      <c r="BU192" s="96">
        <f t="shared" si="160"/>
        <v>2.1450980392156862</v>
      </c>
      <c r="BV192" s="96">
        <f t="shared" si="161"/>
        <v>52.5</v>
      </c>
      <c r="BW192" s="96">
        <f t="shared" si="162"/>
        <v>0.56981132075471697</v>
      </c>
      <c r="BX192" s="99">
        <f>CK192/SQRT(CJ192*CL192)</f>
        <v>20.924575799554201</v>
      </c>
      <c r="BY192" s="96">
        <f t="shared" si="163"/>
        <v>2.1450980392156862</v>
      </c>
      <c r="BZ192" s="97">
        <f t="shared" si="164"/>
        <v>9.1670856376738729E-4</v>
      </c>
      <c r="CA192" s="95">
        <f t="shared" si="165"/>
        <v>0.20204724272554206</v>
      </c>
      <c r="CB192" s="99">
        <f t="shared" si="157"/>
        <v>86.736493760368418</v>
      </c>
      <c r="CC192" s="99">
        <f t="shared" si="157"/>
        <v>8.1826880906007933</v>
      </c>
      <c r="CD192" s="100">
        <f t="shared" si="166"/>
        <v>648.88962465497366</v>
      </c>
      <c r="CE192" s="100">
        <f t="shared" si="182"/>
        <v>681.17012279958135</v>
      </c>
      <c r="CF192" s="100">
        <f t="shared" si="154"/>
        <v>88.552605046067526</v>
      </c>
      <c r="CG192" s="96">
        <f t="shared" si="167"/>
        <v>0.5993352897081341</v>
      </c>
      <c r="CH192" s="96">
        <f t="shared" si="168"/>
        <v>1.0901002535098536</v>
      </c>
      <c r="CJ192" s="95">
        <f>AF192/CJ$4</f>
        <v>0.21940928270042195</v>
      </c>
      <c r="CK192" s="93">
        <f t="shared" si="169"/>
        <v>8.9379084967320264</v>
      </c>
      <c r="CL192" s="93">
        <f t="shared" si="170"/>
        <v>0.83157894736842108</v>
      </c>
      <c r="CM192" s="93">
        <f t="shared" si="171"/>
        <v>5.4603854389721622</v>
      </c>
      <c r="CN192" s="93">
        <f t="shared" si="172"/>
        <v>39.215686274509807</v>
      </c>
      <c r="CO192" s="93">
        <f t="shared" si="173"/>
        <v>17.586206896551722</v>
      </c>
      <c r="CP192" s="93">
        <f t="shared" si="174"/>
        <v>193.18734793187352</v>
      </c>
      <c r="CQ192" s="93">
        <f t="shared" si="175"/>
        <v>409.09090909090907</v>
      </c>
      <c r="CR192" s="93">
        <f t="shared" si="176"/>
        <v>795.27559055118104</v>
      </c>
      <c r="CS192" s="93">
        <f t="shared" si="177"/>
        <v>1409.8939929328621</v>
      </c>
      <c r="CT192" s="93">
        <f t="shared" si="178"/>
        <v>2350.453172205438</v>
      </c>
      <c r="CU192" s="93">
        <f t="shared" si="179"/>
        <v>2921.5686274509808</v>
      </c>
      <c r="CV192" s="93">
        <f t="shared" si="180"/>
        <v>3770.5882352941176</v>
      </c>
      <c r="CW192" s="93">
        <f t="shared" si="181"/>
        <v>5078.7401574803152</v>
      </c>
    </row>
    <row r="193" spans="1:101" s="98" customFormat="1">
      <c r="A193" s="3" t="s">
        <v>415</v>
      </c>
      <c r="B193" s="92" t="s">
        <v>244</v>
      </c>
      <c r="C193" s="3"/>
      <c r="D193" s="93">
        <v>11.032</v>
      </c>
      <c r="E193" s="94">
        <v>0.18310000000000001</v>
      </c>
      <c r="F193" s="94">
        <v>1.1000000000000001E-3</v>
      </c>
      <c r="G193" s="95">
        <v>12.837</v>
      </c>
      <c r="H193" s="96">
        <v>0.38</v>
      </c>
      <c r="I193" s="97">
        <v>0.51129999999999998</v>
      </c>
      <c r="J193" s="95">
        <v>1.4E-2</v>
      </c>
      <c r="K193" s="96">
        <v>0.44677</v>
      </c>
      <c r="M193" s="99">
        <v>2662.2</v>
      </c>
      <c r="N193" s="98">
        <v>59</v>
      </c>
      <c r="O193" s="99">
        <v>2683.7</v>
      </c>
      <c r="P193" s="98">
        <v>6.6</v>
      </c>
      <c r="Q193" s="93">
        <v>0.8</v>
      </c>
      <c r="R193" s="97">
        <v>2E-3</v>
      </c>
      <c r="T193" s="98">
        <v>316</v>
      </c>
      <c r="U193" s="98">
        <v>86</v>
      </c>
      <c r="V193" s="98">
        <v>0.4</v>
      </c>
      <c r="W193" s="98">
        <v>2.1</v>
      </c>
      <c r="X193" s="98">
        <v>0.22</v>
      </c>
      <c r="Y193" s="98">
        <v>0.18</v>
      </c>
      <c r="Z193" s="98">
        <v>5.0999999999999996</v>
      </c>
      <c r="AA193" s="98">
        <v>1.4</v>
      </c>
      <c r="AB193" s="98">
        <v>1.48</v>
      </c>
      <c r="AC193" s="98">
        <v>0.43</v>
      </c>
      <c r="AD193" s="98">
        <v>2840</v>
      </c>
      <c r="AE193" s="98">
        <v>280</v>
      </c>
      <c r="AF193" s="95" t="s">
        <v>250</v>
      </c>
      <c r="AG193" s="97" t="s">
        <v>250</v>
      </c>
      <c r="AH193" s="96">
        <v>6</v>
      </c>
      <c r="AI193" s="96">
        <v>1.3</v>
      </c>
      <c r="AJ193" s="95">
        <v>0.128</v>
      </c>
      <c r="AK193" s="95">
        <v>4.9000000000000002E-2</v>
      </c>
      <c r="AL193" s="96">
        <v>2.2200000000000002</v>
      </c>
      <c r="AM193" s="96">
        <v>0.88</v>
      </c>
      <c r="AN193" s="96">
        <v>7.2</v>
      </c>
      <c r="AO193" s="96">
        <v>1.5</v>
      </c>
      <c r="AP193" s="96">
        <v>0.99</v>
      </c>
      <c r="AQ193" s="96">
        <v>0.23</v>
      </c>
      <c r="AR193" s="96">
        <v>51.3</v>
      </c>
      <c r="AS193" s="93">
        <v>4.7</v>
      </c>
      <c r="AT193" s="96">
        <v>20.5</v>
      </c>
      <c r="AU193" s="96">
        <v>2.9</v>
      </c>
      <c r="AV193" s="99">
        <v>251</v>
      </c>
      <c r="AW193" s="98">
        <v>22</v>
      </c>
      <c r="AX193" s="98">
        <v>97.7</v>
      </c>
      <c r="AY193" s="98">
        <v>9</v>
      </c>
      <c r="AZ193" s="98">
        <v>461</v>
      </c>
      <c r="BA193" s="98">
        <v>41</v>
      </c>
      <c r="BB193" s="98">
        <v>92.4</v>
      </c>
      <c r="BC193" s="98">
        <v>7.4</v>
      </c>
      <c r="BD193" s="98">
        <v>789</v>
      </c>
      <c r="BE193" s="98">
        <v>78</v>
      </c>
      <c r="BF193" s="98">
        <v>158</v>
      </c>
      <c r="BG193" s="98">
        <v>18</v>
      </c>
      <c r="BI193" s="93">
        <v>2.6</v>
      </c>
      <c r="BJ193" s="98">
        <v>1.7</v>
      </c>
      <c r="BK193" s="98">
        <v>581000</v>
      </c>
      <c r="BL193" s="98">
        <v>50000</v>
      </c>
      <c r="BM193" s="98">
        <v>9980</v>
      </c>
      <c r="BN193" s="98">
        <v>1200</v>
      </c>
      <c r="BO193" s="99">
        <v>39.1</v>
      </c>
      <c r="BP193" s="98">
        <v>3.9</v>
      </c>
      <c r="BQ193" s="99">
        <v>66.8</v>
      </c>
      <c r="BR193" s="98">
        <v>5.9</v>
      </c>
      <c r="BT193" s="95">
        <f t="shared" si="159"/>
        <v>8.4664131812420787E-2</v>
      </c>
      <c r="BU193" s="96">
        <f t="shared" si="160"/>
        <v>2.7027027027027026</v>
      </c>
      <c r="BV193" s="96">
        <f t="shared" si="161"/>
        <v>58.216432865731463</v>
      </c>
      <c r="BW193" s="96">
        <f t="shared" si="162"/>
        <v>0.58532934131736536</v>
      </c>
      <c r="BX193" s="99"/>
      <c r="BY193" s="96">
        <f t="shared" si="163"/>
        <v>2.7027027027027026</v>
      </c>
      <c r="BZ193" s="97">
        <f t="shared" si="164"/>
        <v>9.5165588123334599E-4</v>
      </c>
      <c r="CA193" s="95">
        <f t="shared" si="165"/>
        <v>0.15748307956279781</v>
      </c>
      <c r="CB193" s="99">
        <f t="shared" si="157"/>
        <v>109.32071289042661</v>
      </c>
      <c r="CC193" s="99">
        <f t="shared" si="157"/>
        <v>9.6555719469089372</v>
      </c>
      <c r="CD193" s="100">
        <f t="shared" si="166"/>
        <v>655.0879411275821</v>
      </c>
      <c r="CE193" s="100">
        <f t="shared" si="182"/>
        <v>687.81160422515734</v>
      </c>
      <c r="CF193" s="100">
        <f t="shared" si="154"/>
        <v>56.869024547823059</v>
      </c>
      <c r="CG193" s="96">
        <f t="shared" si="167"/>
        <v>0.48974026189621656</v>
      </c>
      <c r="CH193" s="96">
        <f t="shared" si="168"/>
        <v>0.79568452964486658</v>
      </c>
      <c r="CJ193" s="95"/>
      <c r="CK193" s="93">
        <f t="shared" si="169"/>
        <v>9.8039215686274517</v>
      </c>
      <c r="CL193" s="93">
        <f t="shared" si="170"/>
        <v>1.3473684210526315</v>
      </c>
      <c r="CM193" s="93">
        <f t="shared" si="171"/>
        <v>4.7537473233404715</v>
      </c>
      <c r="CN193" s="93">
        <f t="shared" si="172"/>
        <v>47.058823529411768</v>
      </c>
      <c r="CO193" s="93">
        <f t="shared" si="173"/>
        <v>17.068965517241377</v>
      </c>
      <c r="CP193" s="93">
        <f t="shared" si="174"/>
        <v>249.63503649635035</v>
      </c>
      <c r="CQ193" s="93">
        <f t="shared" si="175"/>
        <v>548.1283422459893</v>
      </c>
      <c r="CR193" s="93">
        <f t="shared" si="176"/>
        <v>988.18897637795271</v>
      </c>
      <c r="CS193" s="93">
        <f t="shared" si="177"/>
        <v>1726.1484098939929</v>
      </c>
      <c r="CT193" s="93">
        <f t="shared" si="178"/>
        <v>2785.4984894259819</v>
      </c>
      <c r="CU193" s="93">
        <f t="shared" si="179"/>
        <v>3623.5294117647063</v>
      </c>
      <c r="CV193" s="93">
        <f t="shared" si="180"/>
        <v>4641.1764705882351</v>
      </c>
      <c r="CW193" s="93">
        <f t="shared" si="181"/>
        <v>6220.4724409448818</v>
      </c>
    </row>
    <row r="194" spans="1:101" s="98" customFormat="1">
      <c r="A194" s="3" t="s">
        <v>416</v>
      </c>
      <c r="B194" s="92" t="s">
        <v>244</v>
      </c>
      <c r="C194" s="3" t="s">
        <v>285</v>
      </c>
      <c r="D194" s="93">
        <v>11.007</v>
      </c>
      <c r="E194" s="94">
        <v>0.18479999999999999</v>
      </c>
      <c r="F194" s="94">
        <v>2E-3</v>
      </c>
      <c r="G194" s="95">
        <v>13.01</v>
      </c>
      <c r="H194" s="96">
        <v>0.41</v>
      </c>
      <c r="I194" s="97">
        <v>0.51390000000000002</v>
      </c>
      <c r="J194" s="95">
        <v>1.4E-2</v>
      </c>
      <c r="K194" s="96">
        <v>0.44457000000000002</v>
      </c>
      <c r="M194" s="99">
        <v>2673</v>
      </c>
      <c r="N194" s="98">
        <v>60</v>
      </c>
      <c r="O194" s="99">
        <v>2696</v>
      </c>
      <c r="P194" s="98">
        <v>12</v>
      </c>
      <c r="Q194" s="93">
        <v>0.85</v>
      </c>
      <c r="R194" s="97">
        <v>3.0999999999999999E-3</v>
      </c>
      <c r="T194" s="98">
        <v>250</v>
      </c>
      <c r="U194" s="98">
        <v>130</v>
      </c>
      <c r="V194" s="98">
        <v>1.4</v>
      </c>
      <c r="W194" s="98">
        <v>1.6</v>
      </c>
      <c r="X194" s="98">
        <v>0.14000000000000001</v>
      </c>
      <c r="Y194" s="98">
        <v>0.16</v>
      </c>
      <c r="Z194" s="98">
        <v>4.8</v>
      </c>
      <c r="AA194" s="98">
        <v>1.3</v>
      </c>
      <c r="AB194" s="98">
        <v>1.22</v>
      </c>
      <c r="AC194" s="98">
        <v>0.42</v>
      </c>
      <c r="AD194" s="98">
        <v>1260</v>
      </c>
      <c r="AE194" s="98">
        <v>120</v>
      </c>
      <c r="AF194" s="95" t="s">
        <v>250</v>
      </c>
      <c r="AG194" s="97" t="s">
        <v>250</v>
      </c>
      <c r="AH194" s="96">
        <v>3.59</v>
      </c>
      <c r="AI194" s="96">
        <v>0.76</v>
      </c>
      <c r="AJ194" s="95">
        <v>3.5999999999999997E-2</v>
      </c>
      <c r="AK194" s="95">
        <v>2.8000000000000001E-2</v>
      </c>
      <c r="AL194" s="96">
        <v>1.03</v>
      </c>
      <c r="AM194" s="96">
        <v>0.64</v>
      </c>
      <c r="AN194" s="96">
        <v>2.33</v>
      </c>
      <c r="AO194" s="96">
        <v>0.67</v>
      </c>
      <c r="AP194" s="96">
        <v>0.53</v>
      </c>
      <c r="AQ194" s="96">
        <v>0.27</v>
      </c>
      <c r="AR194" s="96">
        <v>19.399999999999999</v>
      </c>
      <c r="AS194" s="93">
        <v>3.2</v>
      </c>
      <c r="AT194" s="96">
        <v>7.8</v>
      </c>
      <c r="AU194" s="96">
        <v>1.1000000000000001</v>
      </c>
      <c r="AV194" s="99">
        <v>105</v>
      </c>
      <c r="AW194" s="98">
        <v>13</v>
      </c>
      <c r="AX194" s="98">
        <v>42</v>
      </c>
      <c r="AY194" s="98">
        <v>3.6</v>
      </c>
      <c r="AZ194" s="98">
        <v>229</v>
      </c>
      <c r="BA194" s="98">
        <v>23</v>
      </c>
      <c r="BB194" s="98">
        <v>46.9</v>
      </c>
      <c r="BC194" s="98">
        <v>4.7</v>
      </c>
      <c r="BD194" s="98">
        <v>427</v>
      </c>
      <c r="BE194" s="98">
        <v>42</v>
      </c>
      <c r="BF194" s="98">
        <v>87.4</v>
      </c>
      <c r="BG194" s="98">
        <v>9.1999999999999993</v>
      </c>
      <c r="BI194" s="93">
        <v>3.1</v>
      </c>
      <c r="BJ194" s="98">
        <v>3.5</v>
      </c>
      <c r="BK194" s="98">
        <v>560000</v>
      </c>
      <c r="BL194" s="98">
        <v>65000</v>
      </c>
      <c r="BM194" s="98">
        <v>9700</v>
      </c>
      <c r="BN194" s="98">
        <v>1100</v>
      </c>
      <c r="BO194" s="99">
        <v>13.5</v>
      </c>
      <c r="BP194" s="98">
        <v>1.2</v>
      </c>
      <c r="BQ194" s="99">
        <v>36.9</v>
      </c>
      <c r="BR194" s="98">
        <v>3.4</v>
      </c>
      <c r="BT194" s="95">
        <f t="shared" si="159"/>
        <v>8.6416861826697888E-2</v>
      </c>
      <c r="BU194" s="96">
        <f t="shared" si="160"/>
        <v>3.4854368932038833</v>
      </c>
      <c r="BV194" s="96">
        <f t="shared" si="161"/>
        <v>57.731958762886599</v>
      </c>
      <c r="BW194" s="96">
        <f t="shared" si="162"/>
        <v>0.36585365853658536</v>
      </c>
      <c r="BX194" s="99"/>
      <c r="BY194" s="96">
        <f t="shared" si="163"/>
        <v>3.4854368932038833</v>
      </c>
      <c r="BZ194" s="97">
        <f t="shared" si="164"/>
        <v>2.7662197565110186E-3</v>
      </c>
      <c r="CA194" s="95">
        <f t="shared" si="165"/>
        <v>0.24100201798580095</v>
      </c>
      <c r="CB194" s="99">
        <f t="shared" si="157"/>
        <v>60.388238108633857</v>
      </c>
      <c r="CC194" s="99">
        <f t="shared" si="157"/>
        <v>5.5642279016085396</v>
      </c>
      <c r="CD194" s="100">
        <f t="shared" si="166"/>
        <v>669.00565304019926</v>
      </c>
      <c r="CE194" s="100">
        <f t="shared" si="182"/>
        <v>702.73579878407793</v>
      </c>
      <c r="CF194" s="100">
        <f t="shared" si="154"/>
        <v>99.999268942783985</v>
      </c>
      <c r="CG194" s="96">
        <f t="shared" si="167"/>
        <v>-3.8439685153232706E-2</v>
      </c>
      <c r="CH194" s="96">
        <f t="shared" si="168"/>
        <v>1.207144082711644</v>
      </c>
      <c r="CJ194" s="95"/>
      <c r="CK194" s="93">
        <f t="shared" si="169"/>
        <v>5.8660130718954244</v>
      </c>
      <c r="CL194" s="93">
        <f t="shared" si="170"/>
        <v>0.37894736842105259</v>
      </c>
      <c r="CM194" s="93">
        <f t="shared" si="171"/>
        <v>2.2055674518201283</v>
      </c>
      <c r="CN194" s="93">
        <f t="shared" si="172"/>
        <v>15.228758169934641</v>
      </c>
      <c r="CO194" s="93">
        <f t="shared" si="173"/>
        <v>9.137931034482758</v>
      </c>
      <c r="CP194" s="93">
        <f t="shared" si="174"/>
        <v>94.40389294403893</v>
      </c>
      <c r="CQ194" s="93">
        <f t="shared" si="175"/>
        <v>208.5561497326203</v>
      </c>
      <c r="CR194" s="93">
        <f t="shared" si="176"/>
        <v>413.38582677165351</v>
      </c>
      <c r="CS194" s="93">
        <f t="shared" si="177"/>
        <v>742.04946996466435</v>
      </c>
      <c r="CT194" s="93">
        <f t="shared" si="178"/>
        <v>1383.6858006042296</v>
      </c>
      <c r="CU194" s="93">
        <f t="shared" si="179"/>
        <v>1839.2156862745098</v>
      </c>
      <c r="CV194" s="93">
        <f t="shared" si="180"/>
        <v>2511.7647058823527</v>
      </c>
      <c r="CW194" s="93">
        <f t="shared" si="181"/>
        <v>3440.944881889764</v>
      </c>
    </row>
    <row r="195" spans="1:101" s="98" customFormat="1">
      <c r="A195" s="3" t="s">
        <v>417</v>
      </c>
      <c r="B195" s="92" t="s">
        <v>244</v>
      </c>
      <c r="C195" s="3"/>
      <c r="D195" s="93">
        <v>11.047000000000001</v>
      </c>
      <c r="E195" s="94">
        <v>0.185</v>
      </c>
      <c r="F195" s="94">
        <v>1.6000000000000001E-3</v>
      </c>
      <c r="G195" s="95">
        <v>13.14</v>
      </c>
      <c r="H195" s="96">
        <v>0.4</v>
      </c>
      <c r="I195" s="97">
        <v>0.51870000000000005</v>
      </c>
      <c r="J195" s="95">
        <v>1.4E-2</v>
      </c>
      <c r="K195" s="96">
        <v>0.54105999999999999</v>
      </c>
      <c r="M195" s="99">
        <v>2694</v>
      </c>
      <c r="N195" s="98">
        <v>61</v>
      </c>
      <c r="O195" s="99">
        <v>2698</v>
      </c>
      <c r="P195" s="98">
        <v>7.3</v>
      </c>
      <c r="Q195" s="93">
        <v>0.15</v>
      </c>
      <c r="R195" s="97">
        <v>3.0000000000000001E-3</v>
      </c>
      <c r="T195" s="98">
        <v>310</v>
      </c>
      <c r="U195" s="98">
        <v>100</v>
      </c>
      <c r="V195" s="98">
        <v>1</v>
      </c>
      <c r="W195" s="98">
        <v>1.4</v>
      </c>
      <c r="X195" s="98">
        <v>0.26</v>
      </c>
      <c r="Y195" s="98">
        <v>0.19</v>
      </c>
      <c r="Z195" s="98">
        <v>5.0999999999999996</v>
      </c>
      <c r="AA195" s="98">
        <v>1.1000000000000001</v>
      </c>
      <c r="AB195" s="98">
        <v>1.38</v>
      </c>
      <c r="AC195" s="98">
        <v>0.48</v>
      </c>
      <c r="AD195" s="98">
        <v>1370</v>
      </c>
      <c r="AE195" s="98">
        <v>170</v>
      </c>
      <c r="AF195" s="95" t="s">
        <v>250</v>
      </c>
      <c r="AG195" s="97" t="s">
        <v>250</v>
      </c>
      <c r="AH195" s="96">
        <v>5.6</v>
      </c>
      <c r="AI195" s="96">
        <v>1.1000000000000001</v>
      </c>
      <c r="AJ195" s="95">
        <v>0.02</v>
      </c>
      <c r="AK195" s="95">
        <v>1.7000000000000001E-2</v>
      </c>
      <c r="AL195" s="96">
        <v>0.76</v>
      </c>
      <c r="AM195" s="96">
        <v>0.43</v>
      </c>
      <c r="AN195" s="96">
        <v>2.72</v>
      </c>
      <c r="AO195" s="96">
        <v>0.77</v>
      </c>
      <c r="AP195" s="96">
        <v>0.41</v>
      </c>
      <c r="AQ195" s="96">
        <v>0.19</v>
      </c>
      <c r="AR195" s="96">
        <v>17.899999999999999</v>
      </c>
      <c r="AS195" s="93">
        <v>4.7</v>
      </c>
      <c r="AT195" s="96">
        <v>7.11</v>
      </c>
      <c r="AU195" s="96">
        <v>0.81</v>
      </c>
      <c r="AV195" s="99">
        <v>101</v>
      </c>
      <c r="AW195" s="98">
        <v>12</v>
      </c>
      <c r="AX195" s="98">
        <v>44.6</v>
      </c>
      <c r="AY195" s="98">
        <v>5.8</v>
      </c>
      <c r="AZ195" s="98">
        <v>232</v>
      </c>
      <c r="BA195" s="98">
        <v>23</v>
      </c>
      <c r="BB195" s="98">
        <v>47.3</v>
      </c>
      <c r="BC195" s="98">
        <v>4.3</v>
      </c>
      <c r="BD195" s="98">
        <v>430</v>
      </c>
      <c r="BE195" s="98">
        <v>50</v>
      </c>
      <c r="BF195" s="98">
        <v>85.8</v>
      </c>
      <c r="BG195" s="98">
        <v>9.8000000000000007</v>
      </c>
      <c r="BI195" s="93">
        <v>4.5</v>
      </c>
      <c r="BJ195" s="98">
        <v>2.5</v>
      </c>
      <c r="BK195" s="98">
        <v>590000</v>
      </c>
      <c r="BL195" s="98">
        <v>74000</v>
      </c>
      <c r="BM195" s="98">
        <v>10500</v>
      </c>
      <c r="BN195" s="98">
        <v>1300</v>
      </c>
      <c r="BO195" s="99">
        <v>21</v>
      </c>
      <c r="BP195" s="98">
        <v>2.4</v>
      </c>
      <c r="BQ195" s="99">
        <v>50.8</v>
      </c>
      <c r="BR195" s="98">
        <v>5.9</v>
      </c>
      <c r="BT195" s="95">
        <f t="shared" si="159"/>
        <v>0.11813953488372092</v>
      </c>
      <c r="BU195" s="96">
        <f t="shared" si="160"/>
        <v>7.3684210526315788</v>
      </c>
      <c r="BV195" s="96">
        <f t="shared" si="161"/>
        <v>56.19047619047619</v>
      </c>
      <c r="BW195" s="96">
        <f t="shared" si="162"/>
        <v>0.41338582677165359</v>
      </c>
      <c r="BX195" s="99"/>
      <c r="BY195" s="96">
        <f t="shared" si="163"/>
        <v>7.3684210526315788</v>
      </c>
      <c r="BZ195" s="97">
        <f t="shared" si="164"/>
        <v>5.3784095274683058E-3</v>
      </c>
      <c r="CA195" s="95">
        <f t="shared" si="165"/>
        <v>0.17963730219023213</v>
      </c>
      <c r="CB195" s="99">
        <f t="shared" si="157"/>
        <v>83.136111000504059</v>
      </c>
      <c r="CC195" s="99">
        <f t="shared" si="157"/>
        <v>9.6555719469089372</v>
      </c>
      <c r="CD195" s="100">
        <f t="shared" si="166"/>
        <v>699.91855402232056</v>
      </c>
      <c r="CE195" s="100">
        <f t="shared" si="182"/>
        <v>735.94075342292217</v>
      </c>
      <c r="CF195" s="100">
        <f t="shared" si="154"/>
        <v>53.240663606318286</v>
      </c>
      <c r="CG195" s="96">
        <f t="shared" si="167"/>
        <v>0.13213080147248402</v>
      </c>
      <c r="CH195" s="96">
        <f t="shared" si="168"/>
        <v>0.70249111256756602</v>
      </c>
      <c r="CJ195" s="95"/>
      <c r="CK195" s="93">
        <f t="shared" si="169"/>
        <v>9.1503267973856204</v>
      </c>
      <c r="CL195" s="93">
        <f t="shared" si="170"/>
        <v>0.21052631578947367</v>
      </c>
      <c r="CM195" s="93">
        <f t="shared" si="171"/>
        <v>1.627408993576017</v>
      </c>
      <c r="CN195" s="93">
        <f t="shared" si="172"/>
        <v>17.777777777777779</v>
      </c>
      <c r="CO195" s="93">
        <f t="shared" si="173"/>
        <v>7.0689655172413781</v>
      </c>
      <c r="CP195" s="93">
        <f t="shared" si="174"/>
        <v>87.104622871046232</v>
      </c>
      <c r="CQ195" s="93">
        <f t="shared" si="175"/>
        <v>190.10695187165774</v>
      </c>
      <c r="CR195" s="93">
        <f t="shared" si="176"/>
        <v>397.63779527559052</v>
      </c>
      <c r="CS195" s="93">
        <f t="shared" si="177"/>
        <v>787.98586572438171</v>
      </c>
      <c r="CT195" s="93">
        <f t="shared" si="178"/>
        <v>1401.8126888217521</v>
      </c>
      <c r="CU195" s="93">
        <f t="shared" si="179"/>
        <v>1854.9019607843138</v>
      </c>
      <c r="CV195" s="93">
        <f t="shared" si="180"/>
        <v>2529.411764705882</v>
      </c>
      <c r="CW195" s="93">
        <f t="shared" si="181"/>
        <v>3377.9527559055118</v>
      </c>
    </row>
    <row r="196" spans="1:101" s="98" customFormat="1">
      <c r="A196" s="3" t="s">
        <v>418</v>
      </c>
      <c r="B196" s="92" t="s">
        <v>244</v>
      </c>
      <c r="C196" s="3" t="s">
        <v>285</v>
      </c>
      <c r="D196" s="93">
        <v>11.039</v>
      </c>
      <c r="E196" s="94">
        <v>0.184</v>
      </c>
      <c r="F196" s="94">
        <v>1.1000000000000001E-3</v>
      </c>
      <c r="G196" s="95">
        <v>12.734999999999999</v>
      </c>
      <c r="H196" s="96">
        <v>0.38</v>
      </c>
      <c r="I196" s="97">
        <v>0.50629999999999997</v>
      </c>
      <c r="J196" s="95">
        <v>1.4E-2</v>
      </c>
      <c r="K196" s="96">
        <v>0.45760000000000001</v>
      </c>
      <c r="M196" s="99">
        <v>2640.7</v>
      </c>
      <c r="N196" s="98">
        <v>58</v>
      </c>
      <c r="O196" s="99">
        <v>2689.3</v>
      </c>
      <c r="P196" s="98">
        <v>5.8</v>
      </c>
      <c r="Q196" s="93">
        <v>1.8</v>
      </c>
      <c r="R196" s="97">
        <v>4.7000000000000002E-3</v>
      </c>
      <c r="T196" s="98">
        <v>361</v>
      </c>
      <c r="U196" s="98">
        <v>94</v>
      </c>
      <c r="V196" s="98">
        <v>0.7</v>
      </c>
      <c r="W196" s="98">
        <v>1.4</v>
      </c>
      <c r="X196" s="98">
        <v>0.49</v>
      </c>
      <c r="Y196" s="98">
        <v>0.28000000000000003</v>
      </c>
      <c r="Z196" s="98">
        <v>5.67</v>
      </c>
      <c r="AA196" s="98">
        <v>0.83</v>
      </c>
      <c r="AB196" s="98">
        <v>1.93</v>
      </c>
      <c r="AC196" s="98">
        <v>0.42</v>
      </c>
      <c r="AD196" s="98">
        <v>3250</v>
      </c>
      <c r="AE196" s="98">
        <v>410</v>
      </c>
      <c r="AF196" s="95">
        <v>5.8000000000000003E-2</v>
      </c>
      <c r="AG196" s="97">
        <v>2.5000000000000001E-2</v>
      </c>
      <c r="AH196" s="96">
        <v>8.6</v>
      </c>
      <c r="AI196" s="96">
        <v>1.8</v>
      </c>
      <c r="AJ196" s="95">
        <v>0.14899999999999999</v>
      </c>
      <c r="AK196" s="95">
        <v>4.1000000000000002E-2</v>
      </c>
      <c r="AL196" s="96">
        <v>3.7</v>
      </c>
      <c r="AM196" s="96">
        <v>1.1000000000000001</v>
      </c>
      <c r="AN196" s="96">
        <v>10</v>
      </c>
      <c r="AO196" s="96">
        <v>2.2000000000000002</v>
      </c>
      <c r="AP196" s="96">
        <v>1.62</v>
      </c>
      <c r="AQ196" s="96">
        <v>0.33</v>
      </c>
      <c r="AR196" s="96">
        <v>76</v>
      </c>
      <c r="AS196" s="93">
        <v>10</v>
      </c>
      <c r="AT196" s="96">
        <v>23.9</v>
      </c>
      <c r="AU196" s="96">
        <v>2.5</v>
      </c>
      <c r="AV196" s="99">
        <v>306</v>
      </c>
      <c r="AW196" s="98">
        <v>27</v>
      </c>
      <c r="AX196" s="98">
        <v>116</v>
      </c>
      <c r="AY196" s="98">
        <v>10</v>
      </c>
      <c r="AZ196" s="98">
        <v>531</v>
      </c>
      <c r="BA196" s="98">
        <v>52</v>
      </c>
      <c r="BB196" s="98">
        <v>107</v>
      </c>
      <c r="BC196" s="98">
        <v>10</v>
      </c>
      <c r="BD196" s="98">
        <v>950</v>
      </c>
      <c r="BE196" s="98">
        <v>110</v>
      </c>
      <c r="BF196" s="98">
        <v>181</v>
      </c>
      <c r="BG196" s="98">
        <v>21</v>
      </c>
      <c r="BI196" s="93">
        <v>4.7</v>
      </c>
      <c r="BJ196" s="98">
        <v>2.2999999999999998</v>
      </c>
      <c r="BK196" s="98">
        <v>555000</v>
      </c>
      <c r="BL196" s="98">
        <v>71000</v>
      </c>
      <c r="BM196" s="98">
        <v>9500</v>
      </c>
      <c r="BN196" s="98">
        <v>1500</v>
      </c>
      <c r="BO196" s="99">
        <v>51.3</v>
      </c>
      <c r="BP196" s="98">
        <v>4.5999999999999996</v>
      </c>
      <c r="BQ196" s="99">
        <v>82.3</v>
      </c>
      <c r="BR196" s="98">
        <v>7.4</v>
      </c>
      <c r="BT196" s="95">
        <f t="shared" si="159"/>
        <v>8.6631578947368421E-2</v>
      </c>
      <c r="BU196" s="96">
        <f t="shared" si="160"/>
        <v>2.3243243243243241</v>
      </c>
      <c r="BV196" s="96">
        <f t="shared" si="161"/>
        <v>58.421052631578945</v>
      </c>
      <c r="BW196" s="96">
        <f t="shared" si="162"/>
        <v>0.62332928311057112</v>
      </c>
      <c r="BX196" s="99">
        <f t="shared" ref="BX196:BX206" si="183">CK196/SQRT(CJ196*CL196)</f>
        <v>22.681714196307702</v>
      </c>
      <c r="BY196" s="96">
        <f t="shared" si="163"/>
        <v>2.3243243243243241</v>
      </c>
      <c r="BZ196" s="97">
        <f t="shared" si="164"/>
        <v>7.1517671517671514E-4</v>
      </c>
      <c r="CA196" s="95">
        <f t="shared" si="165"/>
        <v>0.17965191600345481</v>
      </c>
      <c r="CB196" s="99">
        <f t="shared" si="157"/>
        <v>134.68704597128905</v>
      </c>
      <c r="CC196" s="99">
        <f t="shared" si="157"/>
        <v>12.110378374089175</v>
      </c>
      <c r="CD196" s="100">
        <f t="shared" si="166"/>
        <v>703.65825108924321</v>
      </c>
      <c r="CE196" s="100">
        <f t="shared" si="182"/>
        <v>739.96302873525235</v>
      </c>
      <c r="CF196" s="100">
        <f t="shared" si="154"/>
        <v>47.526519823366087</v>
      </c>
      <c r="CG196" s="96">
        <f t="shared" si="167"/>
        <v>0.41980856733757421</v>
      </c>
      <c r="CH196" s="96">
        <f t="shared" si="168"/>
        <v>0.65737164730602493</v>
      </c>
      <c r="CJ196" s="95">
        <f t="shared" ref="CJ196:CJ206" si="184">AF196/CJ$4</f>
        <v>0.24472573839662451</v>
      </c>
      <c r="CK196" s="93">
        <f t="shared" si="169"/>
        <v>14.052287581699346</v>
      </c>
      <c r="CL196" s="93">
        <f t="shared" si="170"/>
        <v>1.5684210526315789</v>
      </c>
      <c r="CM196" s="93">
        <f t="shared" si="171"/>
        <v>7.9229122055674521</v>
      </c>
      <c r="CN196" s="93">
        <f t="shared" si="172"/>
        <v>65.359477124183002</v>
      </c>
      <c r="CO196" s="93">
        <f t="shared" si="173"/>
        <v>27.931034482758623</v>
      </c>
      <c r="CP196" s="93">
        <f t="shared" si="174"/>
        <v>369.82968369829683</v>
      </c>
      <c r="CQ196" s="93">
        <f t="shared" si="175"/>
        <v>639.03743315508018</v>
      </c>
      <c r="CR196" s="93">
        <f t="shared" si="176"/>
        <v>1204.724409448819</v>
      </c>
      <c r="CS196" s="93">
        <f t="shared" si="177"/>
        <v>2049.4699646643112</v>
      </c>
      <c r="CT196" s="93">
        <f t="shared" si="178"/>
        <v>3208.4592145015104</v>
      </c>
      <c r="CU196" s="93">
        <f t="shared" si="179"/>
        <v>4196.0784313725489</v>
      </c>
      <c r="CV196" s="93">
        <f t="shared" si="180"/>
        <v>5588.2352941176468</v>
      </c>
      <c r="CW196" s="93">
        <f t="shared" si="181"/>
        <v>7125.9842519685044</v>
      </c>
    </row>
    <row r="197" spans="1:101" s="98" customFormat="1">
      <c r="A197" s="3" t="s">
        <v>419</v>
      </c>
      <c r="B197" s="92" t="s">
        <v>244</v>
      </c>
      <c r="C197" s="3"/>
      <c r="D197" s="93">
        <v>11.189</v>
      </c>
      <c r="E197" s="94">
        <v>0.1852</v>
      </c>
      <c r="F197" s="94">
        <v>1.9E-3</v>
      </c>
      <c r="G197" s="95">
        <v>13.01</v>
      </c>
      <c r="H197" s="96">
        <v>0.4</v>
      </c>
      <c r="I197" s="97">
        <v>0.51290000000000002</v>
      </c>
      <c r="J197" s="95">
        <v>1.4E-2</v>
      </c>
      <c r="K197" s="96">
        <v>0.40548000000000001</v>
      </c>
      <c r="M197" s="99">
        <v>2669</v>
      </c>
      <c r="N197" s="98">
        <v>59</v>
      </c>
      <c r="O197" s="99">
        <v>2699</v>
      </c>
      <c r="P197" s="98">
        <v>10</v>
      </c>
      <c r="Q197" s="93">
        <v>1.0900000000000001</v>
      </c>
      <c r="R197" s="97">
        <v>4.1000000000000003E-3</v>
      </c>
      <c r="T197" s="98">
        <v>400</v>
      </c>
      <c r="U197" s="98">
        <v>140</v>
      </c>
      <c r="V197" s="98">
        <v>0.5</v>
      </c>
      <c r="W197" s="98">
        <v>1.5</v>
      </c>
      <c r="X197" s="98">
        <v>0.22</v>
      </c>
      <c r="Y197" s="98">
        <v>0.18</v>
      </c>
      <c r="Z197" s="98">
        <v>5.0999999999999996</v>
      </c>
      <c r="AA197" s="98">
        <v>1.1000000000000001</v>
      </c>
      <c r="AB197" s="98">
        <v>1.97</v>
      </c>
      <c r="AC197" s="98">
        <v>0.56999999999999995</v>
      </c>
      <c r="AD197" s="98">
        <v>1730</v>
      </c>
      <c r="AE197" s="98">
        <v>180</v>
      </c>
      <c r="AF197" s="95">
        <v>4.3999999999999997E-2</v>
      </c>
      <c r="AG197" s="97">
        <v>2.3E-2</v>
      </c>
      <c r="AH197" s="96">
        <v>7</v>
      </c>
      <c r="AI197" s="96">
        <v>1</v>
      </c>
      <c r="AJ197" s="95">
        <v>0.06</v>
      </c>
      <c r="AK197" s="95">
        <v>3.4000000000000002E-2</v>
      </c>
      <c r="AL197" s="96">
        <v>1</v>
      </c>
      <c r="AM197" s="96">
        <v>0.54</v>
      </c>
      <c r="AN197" s="96">
        <v>3.7</v>
      </c>
      <c r="AO197" s="96">
        <v>1.1000000000000001</v>
      </c>
      <c r="AP197" s="96">
        <v>0.44</v>
      </c>
      <c r="AQ197" s="96">
        <v>0.22</v>
      </c>
      <c r="AR197" s="96">
        <v>27.2</v>
      </c>
      <c r="AS197" s="93">
        <v>4.5999999999999996</v>
      </c>
      <c r="AT197" s="96">
        <v>10</v>
      </c>
      <c r="AU197" s="96">
        <v>1.2</v>
      </c>
      <c r="AV197" s="99">
        <v>150</v>
      </c>
      <c r="AW197" s="98">
        <v>16</v>
      </c>
      <c r="AX197" s="98">
        <v>56.4</v>
      </c>
      <c r="AY197" s="98">
        <v>7.2</v>
      </c>
      <c r="AZ197" s="98">
        <v>286</v>
      </c>
      <c r="BA197" s="98">
        <v>30</v>
      </c>
      <c r="BB197" s="98">
        <v>56.4</v>
      </c>
      <c r="BC197" s="98">
        <v>5.9</v>
      </c>
      <c r="BD197" s="98">
        <v>521</v>
      </c>
      <c r="BE197" s="98">
        <v>56</v>
      </c>
      <c r="BF197" s="98">
        <v>104</v>
      </c>
      <c r="BG197" s="98">
        <v>12</v>
      </c>
      <c r="BI197" s="93">
        <v>4.4000000000000004</v>
      </c>
      <c r="BJ197" s="98">
        <v>2.2999999999999998</v>
      </c>
      <c r="BK197" s="98">
        <v>547000</v>
      </c>
      <c r="BL197" s="98">
        <v>49000</v>
      </c>
      <c r="BM197" s="98">
        <v>10500</v>
      </c>
      <c r="BN197" s="98">
        <v>1100</v>
      </c>
      <c r="BO197" s="99">
        <v>29.3</v>
      </c>
      <c r="BP197" s="98">
        <v>2.8</v>
      </c>
      <c r="BQ197" s="99">
        <v>61.9</v>
      </c>
      <c r="BR197" s="98">
        <v>6.2</v>
      </c>
      <c r="BT197" s="95">
        <f t="shared" si="159"/>
        <v>0.11880998080614204</v>
      </c>
      <c r="BU197" s="96">
        <f t="shared" si="160"/>
        <v>7</v>
      </c>
      <c r="BV197" s="96">
        <f t="shared" si="161"/>
        <v>52.095238095238095</v>
      </c>
      <c r="BW197" s="96">
        <f t="shared" si="162"/>
        <v>0.47334410339256866</v>
      </c>
      <c r="BX197" s="99">
        <f t="shared" si="183"/>
        <v>33.402627475602472</v>
      </c>
      <c r="BY197" s="96">
        <f t="shared" si="163"/>
        <v>7</v>
      </c>
      <c r="BZ197" s="97">
        <f t="shared" si="164"/>
        <v>4.0462427745664737E-3</v>
      </c>
      <c r="CA197" s="95">
        <f t="shared" si="165"/>
        <v>0.13408833478184656</v>
      </c>
      <c r="CB197" s="99">
        <f t="shared" si="157"/>
        <v>101.30167856163783</v>
      </c>
      <c r="CC197" s="99">
        <f t="shared" si="157"/>
        <v>10.146533232344984</v>
      </c>
      <c r="CD197" s="100">
        <f t="shared" si="166"/>
        <v>697.99710088852146</v>
      </c>
      <c r="CE197" s="100">
        <f t="shared" si="182"/>
        <v>733.87455689283581</v>
      </c>
      <c r="CF197" s="100">
        <f t="shared" si="154"/>
        <v>50.038893993059816</v>
      </c>
      <c r="CG197" s="96">
        <f t="shared" si="167"/>
        <v>0.36704788997777915</v>
      </c>
      <c r="CH197" s="96">
        <f t="shared" si="168"/>
        <v>0.61537558795492175</v>
      </c>
      <c r="CJ197" s="95">
        <f t="shared" si="184"/>
        <v>0.18565400843881857</v>
      </c>
      <c r="CK197" s="93">
        <f t="shared" si="169"/>
        <v>11.437908496732026</v>
      </c>
      <c r="CL197" s="93">
        <f t="shared" si="170"/>
        <v>0.63157894736842102</v>
      </c>
      <c r="CM197" s="93">
        <f t="shared" si="171"/>
        <v>2.1413276231263381</v>
      </c>
      <c r="CN197" s="93">
        <f t="shared" si="172"/>
        <v>24.183006535947715</v>
      </c>
      <c r="CO197" s="93">
        <f t="shared" si="173"/>
        <v>7.5862068965517242</v>
      </c>
      <c r="CP197" s="93">
        <f t="shared" si="174"/>
        <v>132.36009732360097</v>
      </c>
      <c r="CQ197" s="93">
        <f t="shared" si="175"/>
        <v>267.37967914438502</v>
      </c>
      <c r="CR197" s="93">
        <f t="shared" si="176"/>
        <v>590.55118110236219</v>
      </c>
      <c r="CS197" s="93">
        <f t="shared" si="177"/>
        <v>996.46643109540639</v>
      </c>
      <c r="CT197" s="93">
        <f t="shared" si="178"/>
        <v>1728.0966767371601</v>
      </c>
      <c r="CU197" s="93">
        <f t="shared" si="179"/>
        <v>2211.7647058823532</v>
      </c>
      <c r="CV197" s="93">
        <f t="shared" si="180"/>
        <v>3064.705882352941</v>
      </c>
      <c r="CW197" s="93">
        <f t="shared" si="181"/>
        <v>4094.4881889763783</v>
      </c>
    </row>
    <row r="198" spans="1:101" s="98" customFormat="1">
      <c r="A198" s="3" t="s">
        <v>420</v>
      </c>
      <c r="B198" s="92" t="s">
        <v>244</v>
      </c>
      <c r="C198" s="3"/>
      <c r="D198" s="93">
        <v>11.01</v>
      </c>
      <c r="E198" s="94">
        <v>0.18379999999999999</v>
      </c>
      <c r="F198" s="94">
        <v>1.1000000000000001E-3</v>
      </c>
      <c r="G198" s="95">
        <v>12.811999999999999</v>
      </c>
      <c r="H198" s="96">
        <v>0.38</v>
      </c>
      <c r="I198" s="97">
        <v>0.5091</v>
      </c>
      <c r="J198" s="95">
        <v>1.4E-2</v>
      </c>
      <c r="K198" s="96">
        <v>0.49339</v>
      </c>
      <c r="M198" s="99">
        <v>2652.5</v>
      </c>
      <c r="N198" s="98">
        <v>59</v>
      </c>
      <c r="O198" s="99">
        <v>2688.2</v>
      </c>
      <c r="P198" s="98">
        <v>4.7</v>
      </c>
      <c r="Q198" s="93">
        <v>1.28</v>
      </c>
      <c r="R198" s="97">
        <v>3.5999999999999999E-3</v>
      </c>
      <c r="T198" s="98">
        <v>460</v>
      </c>
      <c r="U198" s="98">
        <v>130</v>
      </c>
      <c r="V198" s="98">
        <v>0.1</v>
      </c>
      <c r="W198" s="98">
        <v>1.6</v>
      </c>
      <c r="X198" s="98">
        <v>0.48</v>
      </c>
      <c r="Y198" s="98">
        <v>0.28999999999999998</v>
      </c>
      <c r="Z198" s="98">
        <v>5.74</v>
      </c>
      <c r="AA198" s="98">
        <v>0.81</v>
      </c>
      <c r="AB198" s="98">
        <v>1.58</v>
      </c>
      <c r="AC198" s="98">
        <v>0.45</v>
      </c>
      <c r="AD198" s="98">
        <v>2640</v>
      </c>
      <c r="AE198" s="98">
        <v>300</v>
      </c>
      <c r="AF198" s="95">
        <v>3.8E-3</v>
      </c>
      <c r="AG198" s="97">
        <v>6.7999999999999996E-3</v>
      </c>
      <c r="AH198" s="96">
        <v>7.7</v>
      </c>
      <c r="AI198" s="96">
        <v>1.7</v>
      </c>
      <c r="AJ198" s="95">
        <v>9.5000000000000001E-2</v>
      </c>
      <c r="AK198" s="95">
        <v>3.9E-2</v>
      </c>
      <c r="AL198" s="96">
        <v>1.96</v>
      </c>
      <c r="AM198" s="96">
        <v>0.76</v>
      </c>
      <c r="AN198" s="96">
        <v>5.7</v>
      </c>
      <c r="AO198" s="96">
        <v>1.9</v>
      </c>
      <c r="AP198" s="96">
        <v>1.04</v>
      </c>
      <c r="AQ198" s="96">
        <v>0.31</v>
      </c>
      <c r="AR198" s="96">
        <v>42.9</v>
      </c>
      <c r="AS198" s="93">
        <v>5.7</v>
      </c>
      <c r="AT198" s="96">
        <v>18.5</v>
      </c>
      <c r="AU198" s="96">
        <v>2.2000000000000002</v>
      </c>
      <c r="AV198" s="99">
        <v>225</v>
      </c>
      <c r="AW198" s="98">
        <v>16</v>
      </c>
      <c r="AX198" s="98">
        <v>85.4</v>
      </c>
      <c r="AY198" s="98">
        <v>6.9</v>
      </c>
      <c r="AZ198" s="98">
        <v>427</v>
      </c>
      <c r="BA198" s="98">
        <v>50</v>
      </c>
      <c r="BB198" s="98">
        <v>85.9</v>
      </c>
      <c r="BC198" s="98">
        <v>9.8000000000000007</v>
      </c>
      <c r="BD198" s="98">
        <v>740</v>
      </c>
      <c r="BE198" s="98">
        <v>94</v>
      </c>
      <c r="BF198" s="98">
        <v>151</v>
      </c>
      <c r="BG198" s="98">
        <v>20</v>
      </c>
      <c r="BI198" s="93">
        <v>4.5999999999999996</v>
      </c>
      <c r="BJ198" s="98">
        <v>2.2000000000000002</v>
      </c>
      <c r="BK198" s="98">
        <v>565000</v>
      </c>
      <c r="BL198" s="98">
        <v>76000</v>
      </c>
      <c r="BM198" s="98">
        <v>9800</v>
      </c>
      <c r="BN198" s="98">
        <v>1200</v>
      </c>
      <c r="BO198" s="99">
        <v>56.7</v>
      </c>
      <c r="BP198" s="98">
        <v>6.2</v>
      </c>
      <c r="BQ198" s="99">
        <v>82.8</v>
      </c>
      <c r="BR198" s="98">
        <v>8.3000000000000007</v>
      </c>
      <c r="BT198" s="95">
        <f t="shared" si="159"/>
        <v>0.11189189189189189</v>
      </c>
      <c r="BU198" s="96">
        <f t="shared" si="160"/>
        <v>3.9285714285714288</v>
      </c>
      <c r="BV198" s="96">
        <f t="shared" si="161"/>
        <v>57.653061224489797</v>
      </c>
      <c r="BW198" s="96">
        <f t="shared" si="162"/>
        <v>0.68478260869565222</v>
      </c>
      <c r="BX198" s="99">
        <f t="shared" si="183"/>
        <v>99.362309585028669</v>
      </c>
      <c r="BY198" s="96">
        <f t="shared" si="163"/>
        <v>3.9285714285714288</v>
      </c>
      <c r="BZ198" s="97">
        <f t="shared" si="164"/>
        <v>1.4880952380952382E-3</v>
      </c>
      <c r="CA198" s="95">
        <f t="shared" si="165"/>
        <v>0.20332505587641875</v>
      </c>
      <c r="CB198" s="99">
        <f t="shared" si="157"/>
        <v>135.50531478034915</v>
      </c>
      <c r="CC198" s="99">
        <f t="shared" si="157"/>
        <v>13.583262230397319</v>
      </c>
      <c r="CD198" s="100">
        <f t="shared" si="166"/>
        <v>701.80514273689687</v>
      </c>
      <c r="CE198" s="100">
        <f t="shared" si="182"/>
        <v>737.96975311523488</v>
      </c>
      <c r="CF198" s="100">
        <f t="shared" si="154"/>
        <v>46.33687039887085</v>
      </c>
      <c r="CG198" s="96">
        <f t="shared" si="167"/>
        <v>0.2416432420536001</v>
      </c>
      <c r="CH198" s="96">
        <f t="shared" si="168"/>
        <v>0.6661749005999078</v>
      </c>
      <c r="CJ198" s="95">
        <f t="shared" si="184"/>
        <v>1.6033755274261603E-2</v>
      </c>
      <c r="CK198" s="93">
        <f t="shared" si="169"/>
        <v>12.581699346405228</v>
      </c>
      <c r="CL198" s="93">
        <f t="shared" si="170"/>
        <v>1</v>
      </c>
      <c r="CM198" s="93">
        <f t="shared" si="171"/>
        <v>4.1970021413276228</v>
      </c>
      <c r="CN198" s="93">
        <f t="shared" si="172"/>
        <v>37.254901960784316</v>
      </c>
      <c r="CO198" s="93">
        <f t="shared" si="173"/>
        <v>17.931034482758619</v>
      </c>
      <c r="CP198" s="93">
        <f t="shared" si="174"/>
        <v>208.75912408759123</v>
      </c>
      <c r="CQ198" s="93">
        <f t="shared" si="175"/>
        <v>494.65240641711227</v>
      </c>
      <c r="CR198" s="93">
        <f t="shared" si="176"/>
        <v>885.82677165354335</v>
      </c>
      <c r="CS198" s="93">
        <f t="shared" si="177"/>
        <v>1508.8339222614843</v>
      </c>
      <c r="CT198" s="93">
        <f t="shared" si="178"/>
        <v>2580.0604229607247</v>
      </c>
      <c r="CU198" s="93">
        <f t="shared" si="179"/>
        <v>3368.6274509803925</v>
      </c>
      <c r="CV198" s="93">
        <f t="shared" si="180"/>
        <v>4352.9411764705883</v>
      </c>
      <c r="CW198" s="93">
        <f t="shared" si="181"/>
        <v>5944.8818897637793</v>
      </c>
    </row>
    <row r="199" spans="1:101" s="98" customFormat="1">
      <c r="A199" s="3" t="s">
        <v>421</v>
      </c>
      <c r="B199" s="92" t="s">
        <v>244</v>
      </c>
      <c r="C199" s="3"/>
      <c r="D199" s="93">
        <v>11.023</v>
      </c>
      <c r="E199" s="94">
        <v>0.1842</v>
      </c>
      <c r="F199" s="94">
        <v>2.0999999999999999E-3</v>
      </c>
      <c r="G199" s="95">
        <v>12.88</v>
      </c>
      <c r="H199" s="96">
        <v>0.4</v>
      </c>
      <c r="I199" s="97">
        <v>0.51080000000000003</v>
      </c>
      <c r="J199" s="95">
        <v>1.4E-2</v>
      </c>
      <c r="K199" s="96">
        <v>0.26175999999999999</v>
      </c>
      <c r="M199" s="99">
        <v>2660</v>
      </c>
      <c r="N199" s="98">
        <v>60</v>
      </c>
      <c r="O199" s="99">
        <v>2690</v>
      </c>
      <c r="P199" s="98">
        <v>11</v>
      </c>
      <c r="Q199" s="93">
        <v>1.0900000000000001</v>
      </c>
      <c r="R199" s="97">
        <v>4.7000000000000002E-3</v>
      </c>
      <c r="T199" s="98">
        <v>270</v>
      </c>
      <c r="U199" s="98">
        <v>150</v>
      </c>
      <c r="V199" s="98" t="s">
        <v>250</v>
      </c>
      <c r="W199" s="98" t="s">
        <v>250</v>
      </c>
      <c r="X199" s="98">
        <v>0.21</v>
      </c>
      <c r="Y199" s="98">
        <v>0.17</v>
      </c>
      <c r="Z199" s="98">
        <v>4</v>
      </c>
      <c r="AA199" s="98">
        <v>1.2</v>
      </c>
      <c r="AB199" s="98">
        <v>0.8</v>
      </c>
      <c r="AC199" s="98">
        <v>0.33</v>
      </c>
      <c r="AD199" s="98">
        <v>1520</v>
      </c>
      <c r="AE199" s="98">
        <v>200</v>
      </c>
      <c r="AF199" s="95">
        <v>2E-3</v>
      </c>
      <c r="AG199" s="97">
        <v>6.3E-3</v>
      </c>
      <c r="AH199" s="96">
        <v>2.78</v>
      </c>
      <c r="AI199" s="96">
        <v>0.61</v>
      </c>
      <c r="AJ199" s="95">
        <v>0.01</v>
      </c>
      <c r="AK199" s="95">
        <v>1.2E-2</v>
      </c>
      <c r="AL199" s="96">
        <v>0.61</v>
      </c>
      <c r="AM199" s="96">
        <v>0.38</v>
      </c>
      <c r="AN199" s="96">
        <v>2.39</v>
      </c>
      <c r="AO199" s="96">
        <v>0.88</v>
      </c>
      <c r="AP199" s="96">
        <v>0.54</v>
      </c>
      <c r="AQ199" s="96">
        <v>0.18</v>
      </c>
      <c r="AR199" s="96">
        <v>23</v>
      </c>
      <c r="AS199" s="93">
        <v>4</v>
      </c>
      <c r="AT199" s="96">
        <v>8.1999999999999993</v>
      </c>
      <c r="AU199" s="96">
        <v>1.7</v>
      </c>
      <c r="AV199" s="99">
        <v>114</v>
      </c>
      <c r="AW199" s="98">
        <v>17</v>
      </c>
      <c r="AX199" s="98">
        <v>48.7</v>
      </c>
      <c r="AY199" s="98">
        <v>6.1</v>
      </c>
      <c r="AZ199" s="98">
        <v>257</v>
      </c>
      <c r="BA199" s="98">
        <v>33</v>
      </c>
      <c r="BB199" s="98">
        <v>56.2</v>
      </c>
      <c r="BC199" s="98">
        <v>6.8</v>
      </c>
      <c r="BD199" s="98">
        <v>486</v>
      </c>
      <c r="BE199" s="98">
        <v>60</v>
      </c>
      <c r="BF199" s="98">
        <v>103</v>
      </c>
      <c r="BG199" s="98">
        <v>14</v>
      </c>
      <c r="BI199" s="93">
        <v>7.8</v>
      </c>
      <c r="BJ199" s="98">
        <v>3.5</v>
      </c>
      <c r="BK199" s="98">
        <v>615000</v>
      </c>
      <c r="BL199" s="98">
        <v>88000</v>
      </c>
      <c r="BM199" s="98">
        <v>9300</v>
      </c>
      <c r="BN199" s="98">
        <v>1200</v>
      </c>
      <c r="BO199" s="99">
        <v>14.2</v>
      </c>
      <c r="BP199" s="98">
        <v>1.7</v>
      </c>
      <c r="BQ199" s="99">
        <v>36.1</v>
      </c>
      <c r="BR199" s="98">
        <v>3.8</v>
      </c>
      <c r="BT199" s="95">
        <f t="shared" si="159"/>
        <v>7.42798353909465E-2</v>
      </c>
      <c r="BU199" s="96">
        <f t="shared" si="160"/>
        <v>4.557377049180328</v>
      </c>
      <c r="BV199" s="96">
        <f t="shared" si="161"/>
        <v>66.129032258064512</v>
      </c>
      <c r="BW199" s="96">
        <f t="shared" si="162"/>
        <v>0.39335180055401658</v>
      </c>
      <c r="BX199" s="99">
        <f t="shared" si="183"/>
        <v>152.41031181067052</v>
      </c>
      <c r="BY199" s="96">
        <f t="shared" si="163"/>
        <v>4.557377049180328</v>
      </c>
      <c r="BZ199" s="97">
        <f t="shared" si="164"/>
        <v>2.9982743744607419E-3</v>
      </c>
      <c r="CA199" s="95">
        <f t="shared" si="165"/>
        <v>0.2226663172743153</v>
      </c>
      <c r="CB199" s="99">
        <f t="shared" si="157"/>
        <v>59.079008014137735</v>
      </c>
      <c r="CC199" s="99">
        <f t="shared" si="157"/>
        <v>6.2188429488566026</v>
      </c>
      <c r="CD199" s="100">
        <f t="shared" si="166"/>
        <v>749.43928257554785</v>
      </c>
      <c r="CE199" s="100">
        <f t="shared" si="182"/>
        <v>789.29629903952298</v>
      </c>
      <c r="CF199" s="100">
        <f t="shared" si="154"/>
        <v>47.80873977191964</v>
      </c>
      <c r="CG199" s="96">
        <f t="shared" si="167"/>
        <v>-1.2619992197501979</v>
      </c>
      <c r="CH199" s="96">
        <f t="shared" si="168"/>
        <v>0.61219775545328647</v>
      </c>
      <c r="CJ199" s="95">
        <f t="shared" si="184"/>
        <v>8.4388185654008449E-3</v>
      </c>
      <c r="CK199" s="93">
        <f t="shared" si="169"/>
        <v>4.5424836601307188</v>
      </c>
      <c r="CL199" s="93">
        <f t="shared" si="170"/>
        <v>0.10526315789473684</v>
      </c>
      <c r="CM199" s="93">
        <f t="shared" si="171"/>
        <v>1.3062098501070663</v>
      </c>
      <c r="CN199" s="93">
        <f t="shared" si="172"/>
        <v>15.62091503267974</v>
      </c>
      <c r="CO199" s="93">
        <f t="shared" si="173"/>
        <v>9.3103448275862064</v>
      </c>
      <c r="CP199" s="93">
        <f t="shared" si="174"/>
        <v>111.92214111922142</v>
      </c>
      <c r="CQ199" s="93">
        <f t="shared" si="175"/>
        <v>219.25133689839569</v>
      </c>
      <c r="CR199" s="93">
        <f t="shared" si="176"/>
        <v>448.81889763779526</v>
      </c>
      <c r="CS199" s="93">
        <f t="shared" si="177"/>
        <v>860.4240282685513</v>
      </c>
      <c r="CT199" s="93">
        <f t="shared" si="178"/>
        <v>1552.8700906344411</v>
      </c>
      <c r="CU199" s="93">
        <f t="shared" si="179"/>
        <v>2203.9215686274511</v>
      </c>
      <c r="CV199" s="93">
        <f t="shared" si="180"/>
        <v>2858.8235294117644</v>
      </c>
      <c r="CW199" s="93">
        <f t="shared" si="181"/>
        <v>4055.1181102362207</v>
      </c>
    </row>
    <row r="200" spans="1:101" s="118" customFormat="1">
      <c r="A200" s="111" t="s">
        <v>422</v>
      </c>
      <c r="B200" s="112" t="s">
        <v>244</v>
      </c>
      <c r="C200" s="111" t="s">
        <v>285</v>
      </c>
      <c r="D200" s="113">
        <v>11.041</v>
      </c>
      <c r="E200" s="114">
        <v>0.1852</v>
      </c>
      <c r="F200" s="114">
        <v>1.4E-3</v>
      </c>
      <c r="G200" s="115">
        <v>13.7</v>
      </c>
      <c r="H200" s="116">
        <v>0.46</v>
      </c>
      <c r="I200" s="117">
        <v>0.53990000000000005</v>
      </c>
      <c r="J200" s="115">
        <v>1.6E-2</v>
      </c>
      <c r="K200" s="116">
        <v>0.91510000000000002</v>
      </c>
      <c r="M200" s="119">
        <v>2782</v>
      </c>
      <c r="N200" s="118">
        <v>68</v>
      </c>
      <c r="O200" s="119">
        <v>2699.5</v>
      </c>
      <c r="P200" s="118">
        <v>7.5</v>
      </c>
      <c r="Q200" s="113">
        <v>-3.1</v>
      </c>
      <c r="R200" s="117">
        <v>6.6E-4</v>
      </c>
      <c r="T200" s="118">
        <v>310</v>
      </c>
      <c r="U200" s="118">
        <v>120</v>
      </c>
      <c r="V200" s="118">
        <v>0.7</v>
      </c>
      <c r="W200" s="118">
        <v>1.7</v>
      </c>
      <c r="X200" s="118">
        <v>0.35</v>
      </c>
      <c r="Y200" s="118">
        <v>0.21</v>
      </c>
      <c r="Z200" s="118">
        <v>3.44</v>
      </c>
      <c r="AA200" s="118">
        <v>0.95</v>
      </c>
      <c r="AB200" s="118">
        <v>1.19</v>
      </c>
      <c r="AC200" s="118">
        <v>0.39</v>
      </c>
      <c r="AD200" s="118">
        <v>2060</v>
      </c>
      <c r="AE200" s="118">
        <v>240</v>
      </c>
      <c r="AF200" s="115">
        <v>1.03</v>
      </c>
      <c r="AG200" s="117">
        <v>0.12</v>
      </c>
      <c r="AH200" s="116">
        <v>6.23</v>
      </c>
      <c r="AI200" s="116">
        <v>0.62</v>
      </c>
      <c r="AJ200" s="115">
        <v>0.313</v>
      </c>
      <c r="AK200" s="115">
        <v>6.5000000000000002E-2</v>
      </c>
      <c r="AL200" s="116">
        <v>2.4500000000000002</v>
      </c>
      <c r="AM200" s="116">
        <v>0.85</v>
      </c>
      <c r="AN200" s="116">
        <v>5.8</v>
      </c>
      <c r="AO200" s="116">
        <v>1.5</v>
      </c>
      <c r="AP200" s="116">
        <v>0.76</v>
      </c>
      <c r="AQ200" s="116">
        <v>0.28000000000000003</v>
      </c>
      <c r="AR200" s="116">
        <v>38</v>
      </c>
      <c r="AS200" s="113">
        <v>5.5</v>
      </c>
      <c r="AT200" s="116">
        <v>13.7</v>
      </c>
      <c r="AU200" s="116">
        <v>1.3</v>
      </c>
      <c r="AV200" s="119">
        <v>173</v>
      </c>
      <c r="AW200" s="118">
        <v>14</v>
      </c>
      <c r="AX200" s="118">
        <v>71.8</v>
      </c>
      <c r="AY200" s="118">
        <v>6.9</v>
      </c>
      <c r="AZ200" s="118">
        <v>348</v>
      </c>
      <c r="BA200" s="118">
        <v>33</v>
      </c>
      <c r="BB200" s="118">
        <v>69</v>
      </c>
      <c r="BC200" s="118">
        <v>6.1</v>
      </c>
      <c r="BD200" s="118">
        <v>592</v>
      </c>
      <c r="BE200" s="118">
        <v>65</v>
      </c>
      <c r="BF200" s="118">
        <v>125</v>
      </c>
      <c r="BG200" s="118">
        <v>14</v>
      </c>
      <c r="BI200" s="113">
        <v>5.2</v>
      </c>
      <c r="BJ200" s="118">
        <v>2.8</v>
      </c>
      <c r="BK200" s="118">
        <v>510000</v>
      </c>
      <c r="BL200" s="118">
        <v>43000</v>
      </c>
      <c r="BM200" s="118">
        <v>9840</v>
      </c>
      <c r="BN200" s="118">
        <v>960</v>
      </c>
      <c r="BO200" s="119">
        <v>30.1</v>
      </c>
      <c r="BP200" s="118">
        <v>2.6</v>
      </c>
      <c r="BQ200" s="119">
        <v>56.3</v>
      </c>
      <c r="BR200" s="118">
        <v>4.9000000000000004</v>
      </c>
      <c r="BT200" s="115"/>
      <c r="BU200" s="116"/>
      <c r="BV200" s="116"/>
      <c r="BW200" s="116"/>
      <c r="BX200" s="119"/>
      <c r="BY200" s="116"/>
      <c r="BZ200" s="117"/>
      <c r="CA200" s="115"/>
      <c r="CB200" s="99"/>
      <c r="CC200" s="99"/>
      <c r="CD200" s="120"/>
      <c r="CE200" s="100"/>
      <c r="CF200" s="100"/>
      <c r="CG200" s="116"/>
      <c r="CH200" s="96"/>
      <c r="CJ200" s="115">
        <f t="shared" si="184"/>
        <v>4.3459915611814353</v>
      </c>
      <c r="CK200" s="113">
        <f t="shared" si="169"/>
        <v>10.179738562091504</v>
      </c>
      <c r="CL200" s="113">
        <f t="shared" si="170"/>
        <v>3.2947368421052632</v>
      </c>
      <c r="CM200" s="113">
        <f t="shared" si="171"/>
        <v>5.2462526766595294</v>
      </c>
      <c r="CN200" s="113">
        <f t="shared" si="172"/>
        <v>37.908496732026144</v>
      </c>
      <c r="CO200" s="113">
        <f t="shared" si="173"/>
        <v>13.103448275862068</v>
      </c>
      <c r="CP200" s="113">
        <f t="shared" si="174"/>
        <v>184.91484184914842</v>
      </c>
      <c r="CQ200" s="113">
        <f t="shared" si="175"/>
        <v>366.31016042780743</v>
      </c>
      <c r="CR200" s="113">
        <f t="shared" si="176"/>
        <v>681.10236220472439</v>
      </c>
      <c r="CS200" s="113">
        <f t="shared" si="177"/>
        <v>1268.5512367491167</v>
      </c>
      <c r="CT200" s="113">
        <f t="shared" si="178"/>
        <v>2102.7190332326281</v>
      </c>
      <c r="CU200" s="113">
        <f t="shared" si="179"/>
        <v>2705.8823529411766</v>
      </c>
      <c r="CV200" s="113">
        <f t="shared" si="180"/>
        <v>3482.3529411764703</v>
      </c>
      <c r="CW200" s="113">
        <f t="shared" si="181"/>
        <v>4921.2598425196857</v>
      </c>
    </row>
    <row r="201" spans="1:101" s="98" customFormat="1">
      <c r="A201" s="3" t="s">
        <v>423</v>
      </c>
      <c r="B201" s="92" t="s">
        <v>244</v>
      </c>
      <c r="C201" s="3"/>
      <c r="D201" s="93">
        <v>11.004</v>
      </c>
      <c r="E201" s="94">
        <v>0.1847</v>
      </c>
      <c r="F201" s="94">
        <v>1.1000000000000001E-3</v>
      </c>
      <c r="G201" s="95">
        <v>12.984</v>
      </c>
      <c r="H201" s="96">
        <v>0.39</v>
      </c>
      <c r="I201" s="97">
        <v>0.51329999999999998</v>
      </c>
      <c r="J201" s="95">
        <v>1.4E-2</v>
      </c>
      <c r="K201" s="96">
        <v>0.68494999999999995</v>
      </c>
      <c r="M201" s="99">
        <v>2670</v>
      </c>
      <c r="N201" s="98">
        <v>60</v>
      </c>
      <c r="O201" s="99">
        <v>2694.9</v>
      </c>
      <c r="P201" s="98">
        <v>4.9000000000000004</v>
      </c>
      <c r="Q201" s="93">
        <v>0.9</v>
      </c>
      <c r="R201" s="97">
        <v>3.3E-3</v>
      </c>
      <c r="T201" s="98">
        <v>490</v>
      </c>
      <c r="U201" s="98">
        <v>130</v>
      </c>
      <c r="V201" s="98">
        <v>0.9</v>
      </c>
      <c r="W201" s="98">
        <v>1.4</v>
      </c>
      <c r="X201" s="98">
        <v>0.44</v>
      </c>
      <c r="Y201" s="98">
        <v>0.32</v>
      </c>
      <c r="Z201" s="98">
        <v>6.7</v>
      </c>
      <c r="AA201" s="98">
        <v>1.2</v>
      </c>
      <c r="AB201" s="98">
        <v>1.59</v>
      </c>
      <c r="AC201" s="98">
        <v>0.51</v>
      </c>
      <c r="AD201" s="98">
        <v>3380</v>
      </c>
      <c r="AE201" s="98">
        <v>450</v>
      </c>
      <c r="AF201" s="95">
        <v>8.2000000000000007E-3</v>
      </c>
      <c r="AG201" s="97">
        <v>8.6E-3</v>
      </c>
      <c r="AH201" s="96">
        <v>8.4</v>
      </c>
      <c r="AI201" s="96">
        <v>1.4</v>
      </c>
      <c r="AJ201" s="95">
        <v>0.14499999999999999</v>
      </c>
      <c r="AK201" s="95">
        <v>6.2E-2</v>
      </c>
      <c r="AL201" s="96">
        <v>3.6</v>
      </c>
      <c r="AM201" s="96">
        <v>1</v>
      </c>
      <c r="AN201" s="96">
        <v>7.4</v>
      </c>
      <c r="AO201" s="96">
        <v>1.8</v>
      </c>
      <c r="AP201" s="96">
        <v>1.17</v>
      </c>
      <c r="AQ201" s="96">
        <v>0.37</v>
      </c>
      <c r="AR201" s="96">
        <v>55</v>
      </c>
      <c r="AS201" s="93">
        <v>6.2</v>
      </c>
      <c r="AT201" s="96">
        <v>20.7</v>
      </c>
      <c r="AU201" s="96">
        <v>1.8</v>
      </c>
      <c r="AV201" s="99">
        <v>270</v>
      </c>
      <c r="AW201" s="98">
        <v>23</v>
      </c>
      <c r="AX201" s="98">
        <v>106</v>
      </c>
      <c r="AY201" s="98">
        <v>10</v>
      </c>
      <c r="AZ201" s="98">
        <v>535</v>
      </c>
      <c r="BA201" s="98">
        <v>53</v>
      </c>
      <c r="BB201" s="98">
        <v>100</v>
      </c>
      <c r="BC201" s="98">
        <v>11</v>
      </c>
      <c r="BD201" s="98">
        <v>877</v>
      </c>
      <c r="BE201" s="98">
        <v>91</v>
      </c>
      <c r="BF201" s="98">
        <v>176</v>
      </c>
      <c r="BG201" s="98">
        <v>22</v>
      </c>
      <c r="BI201" s="93">
        <v>2.7</v>
      </c>
      <c r="BJ201" s="98">
        <v>2.1</v>
      </c>
      <c r="BK201" s="98">
        <v>550000</v>
      </c>
      <c r="BL201" s="98">
        <v>51000</v>
      </c>
      <c r="BM201" s="98">
        <v>9700</v>
      </c>
      <c r="BN201" s="98">
        <v>1100</v>
      </c>
      <c r="BO201" s="99">
        <v>55.4</v>
      </c>
      <c r="BP201" s="98">
        <v>4.7</v>
      </c>
      <c r="BQ201" s="99">
        <v>87.7</v>
      </c>
      <c r="BR201" s="98">
        <v>7.2</v>
      </c>
      <c r="BT201" s="95">
        <f t="shared" si="159"/>
        <v>0.1</v>
      </c>
      <c r="BU201" s="96">
        <f t="shared" si="160"/>
        <v>2.3333333333333335</v>
      </c>
      <c r="BV201" s="96">
        <f t="shared" si="161"/>
        <v>56.701030927835049</v>
      </c>
      <c r="BW201" s="96">
        <f t="shared" si="162"/>
        <v>0.63169897377423034</v>
      </c>
      <c r="BX201" s="99">
        <f t="shared" si="183"/>
        <v>59.727304063510189</v>
      </c>
      <c r="BY201" s="96">
        <f t="shared" si="163"/>
        <v>2.3333333333333335</v>
      </c>
      <c r="BZ201" s="97">
        <f t="shared" si="164"/>
        <v>6.903353057199211E-4</v>
      </c>
      <c r="CA201" s="95">
        <f t="shared" si="165"/>
        <v>0.17730145193484392</v>
      </c>
      <c r="CB201" s="99">
        <f t="shared" si="157"/>
        <v>143.52434910913792</v>
      </c>
      <c r="CC201" s="99">
        <f t="shared" si="157"/>
        <v>11.783070850465144</v>
      </c>
      <c r="CD201" s="100">
        <f t="shared" si="166"/>
        <v>658.03946372982898</v>
      </c>
      <c r="CE201" s="100">
        <f t="shared" si="182"/>
        <v>690.97525281961646</v>
      </c>
      <c r="CF201" s="100">
        <f t="shared" si="154"/>
        <v>67.744366968410972</v>
      </c>
      <c r="CG201" s="96">
        <f t="shared" ref="CG201:CG208" si="185">2.28+3.99*LOG(AH201/((CB201*BI201)^(1/2)))</f>
        <v>0.80423709783045094</v>
      </c>
      <c r="CH201" s="96">
        <f t="shared" si="168"/>
        <v>0.85934655405679328</v>
      </c>
      <c r="CJ201" s="95">
        <f t="shared" si="184"/>
        <v>3.4599156118143466E-2</v>
      </c>
      <c r="CK201" s="93">
        <f t="shared" si="169"/>
        <v>13.725490196078432</v>
      </c>
      <c r="CL201" s="93">
        <f t="shared" si="170"/>
        <v>1.5263157894736841</v>
      </c>
      <c r="CM201" s="93">
        <f t="shared" si="171"/>
        <v>7.7087794432548176</v>
      </c>
      <c r="CN201" s="93">
        <f t="shared" si="172"/>
        <v>48.366013071895431</v>
      </c>
      <c r="CO201" s="93">
        <f t="shared" si="173"/>
        <v>20.172413793103445</v>
      </c>
      <c r="CP201" s="93">
        <f t="shared" si="174"/>
        <v>267.63990267639906</v>
      </c>
      <c r="CQ201" s="93">
        <f t="shared" si="175"/>
        <v>553.47593582887691</v>
      </c>
      <c r="CR201" s="93">
        <f t="shared" si="176"/>
        <v>1062.992125984252</v>
      </c>
      <c r="CS201" s="93">
        <f t="shared" si="177"/>
        <v>1872.791519434629</v>
      </c>
      <c r="CT201" s="93">
        <f t="shared" si="178"/>
        <v>3232.6283987915408</v>
      </c>
      <c r="CU201" s="93">
        <f t="shared" si="179"/>
        <v>3921.5686274509808</v>
      </c>
      <c r="CV201" s="93">
        <f t="shared" si="180"/>
        <v>5158.823529411764</v>
      </c>
      <c r="CW201" s="93">
        <f t="shared" si="181"/>
        <v>6929.1338582677172</v>
      </c>
    </row>
    <row r="202" spans="1:101" s="98" customFormat="1">
      <c r="A202" s="3" t="s">
        <v>424</v>
      </c>
      <c r="B202" s="92" t="s">
        <v>244</v>
      </c>
      <c r="C202" s="3"/>
      <c r="D202" s="93">
        <v>11.089</v>
      </c>
      <c r="E202" s="94">
        <v>0.18590000000000001</v>
      </c>
      <c r="F202" s="94">
        <v>1.4E-3</v>
      </c>
      <c r="G202" s="95">
        <v>13.34</v>
      </c>
      <c r="H202" s="96">
        <v>0.4</v>
      </c>
      <c r="I202" s="97">
        <v>0.5242</v>
      </c>
      <c r="J202" s="95">
        <v>1.4999999999999999E-2</v>
      </c>
      <c r="K202" s="96">
        <v>0.61363000000000001</v>
      </c>
      <c r="M202" s="99">
        <v>2717</v>
      </c>
      <c r="N202" s="98">
        <v>62</v>
      </c>
      <c r="O202" s="99">
        <v>2704.5</v>
      </c>
      <c r="P202" s="98">
        <v>6.4</v>
      </c>
      <c r="Q202" s="93">
        <v>-0.46</v>
      </c>
      <c r="R202" s="97">
        <v>1.5E-3</v>
      </c>
      <c r="T202" s="98">
        <v>430</v>
      </c>
      <c r="U202" s="98">
        <v>120</v>
      </c>
      <c r="V202" s="98" t="s">
        <v>250</v>
      </c>
      <c r="W202" s="98" t="s">
        <v>250</v>
      </c>
      <c r="X202" s="98">
        <v>0.34</v>
      </c>
      <c r="Y202" s="98">
        <v>0.19</v>
      </c>
      <c r="Z202" s="98">
        <v>3.62</v>
      </c>
      <c r="AA202" s="98">
        <v>0.76</v>
      </c>
      <c r="AB202" s="98">
        <v>2.0299999999999998</v>
      </c>
      <c r="AC202" s="98">
        <v>0.45</v>
      </c>
      <c r="AD202" s="98">
        <v>2370</v>
      </c>
      <c r="AE202" s="98">
        <v>280</v>
      </c>
      <c r="AF202" s="95">
        <v>2.7000000000000001E-3</v>
      </c>
      <c r="AG202" s="97">
        <v>7.4999999999999997E-3</v>
      </c>
      <c r="AH202" s="96">
        <v>6.3</v>
      </c>
      <c r="AI202" s="96">
        <v>1.2</v>
      </c>
      <c r="AJ202" s="95">
        <v>0.13200000000000001</v>
      </c>
      <c r="AK202" s="95">
        <v>5.3999999999999999E-2</v>
      </c>
      <c r="AL202" s="96">
        <v>2.06</v>
      </c>
      <c r="AM202" s="96">
        <v>0.85</v>
      </c>
      <c r="AN202" s="96">
        <v>5.9</v>
      </c>
      <c r="AO202" s="96">
        <v>1.5</v>
      </c>
      <c r="AP202" s="96">
        <v>1.1299999999999999</v>
      </c>
      <c r="AQ202" s="96">
        <v>0.31</v>
      </c>
      <c r="AR202" s="96">
        <v>39.6</v>
      </c>
      <c r="AS202" s="93">
        <v>6.5</v>
      </c>
      <c r="AT202" s="96">
        <v>15.7</v>
      </c>
      <c r="AU202" s="96">
        <v>1.8</v>
      </c>
      <c r="AV202" s="99">
        <v>201</v>
      </c>
      <c r="AW202" s="98">
        <v>16</v>
      </c>
      <c r="AX202" s="98">
        <v>78.8</v>
      </c>
      <c r="AY202" s="98">
        <v>7.7</v>
      </c>
      <c r="AZ202" s="98">
        <v>392</v>
      </c>
      <c r="BA202" s="98">
        <v>42</v>
      </c>
      <c r="BB202" s="98">
        <v>77.8</v>
      </c>
      <c r="BC202" s="98">
        <v>9.6999999999999993</v>
      </c>
      <c r="BD202" s="98">
        <v>639</v>
      </c>
      <c r="BE202" s="98">
        <v>71</v>
      </c>
      <c r="BF202" s="98">
        <v>136</v>
      </c>
      <c r="BG202" s="98">
        <v>12</v>
      </c>
      <c r="BI202" s="93">
        <v>4.5</v>
      </c>
      <c r="BJ202" s="98">
        <v>2.6</v>
      </c>
      <c r="BK202" s="98">
        <v>531000</v>
      </c>
      <c r="BL202" s="98">
        <v>60000</v>
      </c>
      <c r="BM202" s="98">
        <v>8700</v>
      </c>
      <c r="BN202" s="98">
        <v>1100</v>
      </c>
      <c r="BO202" s="99">
        <v>39.1</v>
      </c>
      <c r="BP202" s="98">
        <v>3.2</v>
      </c>
      <c r="BQ202" s="99">
        <v>64.7</v>
      </c>
      <c r="BR202" s="98">
        <v>5</v>
      </c>
      <c r="BT202" s="95">
        <f t="shared" si="159"/>
        <v>0.10125195618153365</v>
      </c>
      <c r="BU202" s="96">
        <f t="shared" si="160"/>
        <v>3.058252427184466</v>
      </c>
      <c r="BV202" s="96">
        <f t="shared" si="161"/>
        <v>61.03448275862069</v>
      </c>
      <c r="BW202" s="96">
        <f t="shared" si="162"/>
        <v>0.60432766615146827</v>
      </c>
      <c r="BX202" s="99">
        <f t="shared" si="183"/>
        <v>81.819393383495807</v>
      </c>
      <c r="BY202" s="96">
        <f t="shared" si="163"/>
        <v>3.058252427184466</v>
      </c>
      <c r="BZ202" s="97">
        <f t="shared" si="164"/>
        <v>1.2904018680103232E-3</v>
      </c>
      <c r="CA202" s="95">
        <f t="shared" si="165"/>
        <v>0.22601042900293458</v>
      </c>
      <c r="CB202" s="99">
        <f t="shared" si="157"/>
        <v>105.88398389237427</v>
      </c>
      <c r="CC202" s="99">
        <f t="shared" si="157"/>
        <v>8.1826880906007933</v>
      </c>
      <c r="CD202" s="100">
        <f t="shared" si="166"/>
        <v>699.91855402232056</v>
      </c>
      <c r="CE202" s="100">
        <f t="shared" si="182"/>
        <v>735.94075342292217</v>
      </c>
      <c r="CF202" s="100">
        <f t="shared" ref="CF202:CF258" si="186">((((4800^2)*(BI202^2)*(0.072^2)+(4800^2)*(BJ202^2)+(BI202^2)*(86^2)*((5.711-LOG(BI202))^2))/((BI202^2)*(5.711-LOG(BI202))^4))^(1/2))/2</f>
        <v>55.283339744002042</v>
      </c>
      <c r="CG202" s="96">
        <f t="shared" si="185"/>
        <v>0.12667343210989701</v>
      </c>
      <c r="CH202" s="96">
        <f t="shared" si="168"/>
        <v>0.69235295256759288</v>
      </c>
      <c r="CJ202" s="95">
        <f t="shared" si="184"/>
        <v>1.1392405063291141E-2</v>
      </c>
      <c r="CK202" s="93">
        <f t="shared" si="169"/>
        <v>10.294117647058824</v>
      </c>
      <c r="CL202" s="93">
        <f t="shared" si="170"/>
        <v>1.3894736842105264</v>
      </c>
      <c r="CM202" s="93">
        <f t="shared" si="171"/>
        <v>4.4111349036402565</v>
      </c>
      <c r="CN202" s="93">
        <f t="shared" si="172"/>
        <v>38.562091503267979</v>
      </c>
      <c r="CO202" s="93">
        <f t="shared" si="173"/>
        <v>19.482758620689651</v>
      </c>
      <c r="CP202" s="93">
        <f t="shared" si="174"/>
        <v>192.70072992700733</v>
      </c>
      <c r="CQ202" s="93">
        <f t="shared" si="175"/>
        <v>419.78609625668446</v>
      </c>
      <c r="CR202" s="93">
        <f t="shared" si="176"/>
        <v>791.33858267716539</v>
      </c>
      <c r="CS202" s="93">
        <f t="shared" si="177"/>
        <v>1392.226148409894</v>
      </c>
      <c r="CT202" s="93">
        <f t="shared" si="178"/>
        <v>2368.5800604229607</v>
      </c>
      <c r="CU202" s="93">
        <f t="shared" si="179"/>
        <v>3050.9803921568628</v>
      </c>
      <c r="CV202" s="93">
        <f t="shared" si="180"/>
        <v>3758.8235294117644</v>
      </c>
      <c r="CW202" s="93">
        <f t="shared" si="181"/>
        <v>5354.3307086614177</v>
      </c>
    </row>
    <row r="203" spans="1:101" s="98" customFormat="1">
      <c r="A203" s="3" t="s">
        <v>425</v>
      </c>
      <c r="B203" s="3" t="s">
        <v>268</v>
      </c>
      <c r="C203" s="3"/>
      <c r="D203" s="93">
        <v>5.3753000000000002</v>
      </c>
      <c r="E203" s="94">
        <v>0.187</v>
      </c>
      <c r="F203" s="94">
        <v>2.3E-3</v>
      </c>
      <c r="G203" s="95">
        <v>13.25</v>
      </c>
      <c r="H203" s="96">
        <v>0.37</v>
      </c>
      <c r="I203" s="97">
        <v>0.51470000000000005</v>
      </c>
      <c r="J203" s="95">
        <v>1.2E-2</v>
      </c>
      <c r="K203" s="96">
        <v>0.54656000000000005</v>
      </c>
      <c r="M203" s="99">
        <v>2677</v>
      </c>
      <c r="N203" s="98">
        <v>50</v>
      </c>
      <c r="O203" s="99">
        <v>2716</v>
      </c>
      <c r="P203" s="98">
        <v>12</v>
      </c>
      <c r="Q203" s="93">
        <v>1.43</v>
      </c>
      <c r="R203" s="97">
        <v>5.7999999999999996E-3</v>
      </c>
      <c r="T203" s="98">
        <v>350</v>
      </c>
      <c r="U203" s="98">
        <v>160</v>
      </c>
      <c r="V203" s="98" t="s">
        <v>250</v>
      </c>
      <c r="W203" s="98" t="s">
        <v>250</v>
      </c>
      <c r="X203" s="98">
        <v>0.24</v>
      </c>
      <c r="Y203" s="98">
        <v>0.2</v>
      </c>
      <c r="Z203" s="98">
        <v>3.7</v>
      </c>
      <c r="AA203" s="98">
        <v>1</v>
      </c>
      <c r="AB203" s="98">
        <v>1.07</v>
      </c>
      <c r="AC203" s="98">
        <v>0.52</v>
      </c>
      <c r="AD203" s="98">
        <v>1050</v>
      </c>
      <c r="AE203" s="98">
        <v>130</v>
      </c>
      <c r="AF203" s="95">
        <v>8.9999999999999993E-3</v>
      </c>
      <c r="AG203" s="97">
        <v>1.4E-2</v>
      </c>
      <c r="AH203" s="96">
        <v>4.8600000000000003</v>
      </c>
      <c r="AI203" s="96">
        <v>0.91</v>
      </c>
      <c r="AJ203" s="95">
        <v>0.04</v>
      </c>
      <c r="AK203" s="95">
        <v>3.3000000000000002E-2</v>
      </c>
      <c r="AL203" s="96">
        <v>0.62</v>
      </c>
      <c r="AM203" s="96">
        <v>0.56000000000000005</v>
      </c>
      <c r="AN203" s="96">
        <v>2.14</v>
      </c>
      <c r="AO203" s="96">
        <v>0.86</v>
      </c>
      <c r="AP203" s="96">
        <v>0.5</v>
      </c>
      <c r="AQ203" s="96">
        <v>0.2</v>
      </c>
      <c r="AR203" s="96">
        <v>16.899999999999999</v>
      </c>
      <c r="AS203" s="93">
        <v>3.1</v>
      </c>
      <c r="AT203" s="96">
        <v>6.5</v>
      </c>
      <c r="AU203" s="96">
        <v>1.2</v>
      </c>
      <c r="AV203" s="99">
        <v>89</v>
      </c>
      <c r="AW203" s="98">
        <v>10</v>
      </c>
      <c r="AX203" s="98">
        <v>37.5</v>
      </c>
      <c r="AY203" s="98">
        <v>4.7</v>
      </c>
      <c r="AZ203" s="98">
        <v>176</v>
      </c>
      <c r="BA203" s="98">
        <v>21</v>
      </c>
      <c r="BB203" s="98">
        <v>38.200000000000003</v>
      </c>
      <c r="BC203" s="98">
        <v>4</v>
      </c>
      <c r="BD203" s="98">
        <v>345</v>
      </c>
      <c r="BE203" s="98">
        <v>27</v>
      </c>
      <c r="BF203" s="98">
        <v>65.3</v>
      </c>
      <c r="BG203" s="98">
        <v>4.8</v>
      </c>
      <c r="BI203" s="93">
        <v>2.2999999999999998</v>
      </c>
      <c r="BJ203" s="98">
        <v>2.1</v>
      </c>
      <c r="BK203" s="98">
        <v>550000</v>
      </c>
      <c r="BL203" s="98">
        <v>79000</v>
      </c>
      <c r="BM203" s="98">
        <v>9340</v>
      </c>
      <c r="BN203" s="98">
        <v>730</v>
      </c>
      <c r="BO203" s="99">
        <v>17.899999999999999</v>
      </c>
      <c r="BP203" s="98">
        <v>1.6</v>
      </c>
      <c r="BQ203" s="99">
        <v>35.5</v>
      </c>
      <c r="BR203" s="98">
        <v>2.9</v>
      </c>
      <c r="BT203" s="95">
        <f t="shared" si="159"/>
        <v>0.10289855072463767</v>
      </c>
      <c r="BU203" s="96">
        <f t="shared" si="160"/>
        <v>7.838709677419355</v>
      </c>
      <c r="BV203" s="96">
        <f t="shared" si="161"/>
        <v>58.886509635974306</v>
      </c>
      <c r="BW203" s="96">
        <f t="shared" si="162"/>
        <v>0.50422535211267605</v>
      </c>
      <c r="BX203" s="99">
        <f t="shared" si="183"/>
        <v>62.801435721802768</v>
      </c>
      <c r="BY203" s="96">
        <f t="shared" si="163"/>
        <v>7.838709677419355</v>
      </c>
      <c r="BZ203" s="97">
        <f t="shared" si="164"/>
        <v>7.4654377880184336E-3</v>
      </c>
      <c r="CA203" s="95">
        <f t="shared" si="165"/>
        <v>0.25418118514365512</v>
      </c>
      <c r="CB203" s="99">
        <f t="shared" si="157"/>
        <v>58.097085443265634</v>
      </c>
      <c r="CC203" s="99">
        <f t="shared" si="157"/>
        <v>4.7459590925484605</v>
      </c>
      <c r="CD203" s="100">
        <f t="shared" si="166"/>
        <v>645.62749893398575</v>
      </c>
      <c r="CE203" s="100">
        <f t="shared" si="182"/>
        <v>677.67601823733116</v>
      </c>
      <c r="CF203" s="100">
        <f t="shared" si="186"/>
        <v>77.236816610853978</v>
      </c>
      <c r="CG203" s="96">
        <f t="shared" si="185"/>
        <v>0.77854376186251395</v>
      </c>
      <c r="CH203" s="96">
        <f t="shared" si="168"/>
        <v>0.99732774850893535</v>
      </c>
      <c r="CJ203" s="95">
        <f t="shared" si="184"/>
        <v>3.7974683544303799E-2</v>
      </c>
      <c r="CK203" s="93">
        <f t="shared" si="169"/>
        <v>7.9411764705882364</v>
      </c>
      <c r="CL203" s="93">
        <f t="shared" si="170"/>
        <v>0.42105263157894735</v>
      </c>
      <c r="CM203" s="93">
        <f t="shared" si="171"/>
        <v>1.3276231263383296</v>
      </c>
      <c r="CN203" s="93">
        <f t="shared" si="172"/>
        <v>13.986928104575165</v>
      </c>
      <c r="CO203" s="93">
        <f t="shared" si="173"/>
        <v>8.6206896551724128</v>
      </c>
      <c r="CP203" s="93">
        <f t="shared" si="174"/>
        <v>82.238442822384428</v>
      </c>
      <c r="CQ203" s="93">
        <f t="shared" si="175"/>
        <v>173.79679144385025</v>
      </c>
      <c r="CR203" s="93">
        <f t="shared" si="176"/>
        <v>350.39370078740154</v>
      </c>
      <c r="CS203" s="93">
        <f t="shared" si="177"/>
        <v>662.54416961130744</v>
      </c>
      <c r="CT203" s="93">
        <f t="shared" si="178"/>
        <v>1063.4441087613293</v>
      </c>
      <c r="CU203" s="93">
        <f t="shared" si="179"/>
        <v>1498.0392156862747</v>
      </c>
      <c r="CV203" s="93">
        <f t="shared" si="180"/>
        <v>2029.4117647058822</v>
      </c>
      <c r="CW203" s="93">
        <f t="shared" si="181"/>
        <v>2570.8661417322833</v>
      </c>
    </row>
    <row r="204" spans="1:101" s="98" customFormat="1">
      <c r="A204" s="3" t="s">
        <v>426</v>
      </c>
      <c r="B204" s="3" t="s">
        <v>268</v>
      </c>
      <c r="C204" s="3"/>
      <c r="D204" s="93">
        <v>4.8113000000000001</v>
      </c>
      <c r="E204" s="94">
        <v>0.18410000000000001</v>
      </c>
      <c r="F204" s="94">
        <v>1.9E-3</v>
      </c>
      <c r="G204" s="95">
        <v>13.39</v>
      </c>
      <c r="H204" s="96">
        <v>0.35</v>
      </c>
      <c r="I204" s="97">
        <v>0.52829999999999999</v>
      </c>
      <c r="J204" s="95">
        <v>1.2E-2</v>
      </c>
      <c r="K204" s="96">
        <v>0.37201000000000001</v>
      </c>
      <c r="M204" s="99">
        <v>2734.4</v>
      </c>
      <c r="N204" s="98">
        <v>49</v>
      </c>
      <c r="O204" s="99">
        <v>2692.2</v>
      </c>
      <c r="P204" s="98">
        <v>6.8</v>
      </c>
      <c r="Q204" s="93">
        <v>-1.57</v>
      </c>
      <c r="R204" s="97">
        <v>2.7E-4</v>
      </c>
      <c r="T204" s="98">
        <v>420</v>
      </c>
      <c r="U204" s="98">
        <v>260</v>
      </c>
      <c r="V204" s="98">
        <v>1</v>
      </c>
      <c r="W204" s="98">
        <v>1.1000000000000001</v>
      </c>
      <c r="X204" s="98">
        <v>0.46</v>
      </c>
      <c r="Y204" s="98">
        <v>0.49</v>
      </c>
      <c r="Z204" s="98">
        <v>4.6500000000000004</v>
      </c>
      <c r="AA204" s="98">
        <v>0.84</v>
      </c>
      <c r="AB204" s="98">
        <v>1.37</v>
      </c>
      <c r="AC204" s="98">
        <v>0.55000000000000004</v>
      </c>
      <c r="AD204" s="98">
        <v>1560</v>
      </c>
      <c r="AE204" s="98">
        <v>190</v>
      </c>
      <c r="AF204" s="95">
        <v>0.22900000000000001</v>
      </c>
      <c r="AG204" s="97">
        <v>6.3E-2</v>
      </c>
      <c r="AH204" s="96">
        <v>5.5</v>
      </c>
      <c r="AI204" s="96">
        <v>0.89</v>
      </c>
      <c r="AJ204" s="95">
        <v>6.6000000000000003E-2</v>
      </c>
      <c r="AK204" s="95">
        <v>3.7999999999999999E-2</v>
      </c>
      <c r="AL204" s="96">
        <v>0.82</v>
      </c>
      <c r="AM204" s="96">
        <v>0.7</v>
      </c>
      <c r="AN204" s="96">
        <v>3</v>
      </c>
      <c r="AO204" s="96">
        <v>1.2</v>
      </c>
      <c r="AP204" s="96">
        <v>0.61</v>
      </c>
      <c r="AQ204" s="96">
        <v>0.28999999999999998</v>
      </c>
      <c r="AR204" s="96">
        <v>23.1</v>
      </c>
      <c r="AS204" s="93">
        <v>6.1</v>
      </c>
      <c r="AT204" s="96">
        <v>10.3</v>
      </c>
      <c r="AU204" s="96">
        <v>1.2</v>
      </c>
      <c r="AV204" s="99">
        <v>121</v>
      </c>
      <c r="AW204" s="98">
        <v>13</v>
      </c>
      <c r="AX204" s="98">
        <v>52.4</v>
      </c>
      <c r="AY204" s="98">
        <v>5</v>
      </c>
      <c r="AZ204" s="98">
        <v>264</v>
      </c>
      <c r="BA204" s="98">
        <v>29</v>
      </c>
      <c r="BB204" s="98">
        <v>49.3</v>
      </c>
      <c r="BC204" s="98">
        <v>5.7</v>
      </c>
      <c r="BD204" s="98">
        <v>459</v>
      </c>
      <c r="BE204" s="98">
        <v>50</v>
      </c>
      <c r="BF204" s="98">
        <v>96</v>
      </c>
      <c r="BG204" s="98">
        <v>10</v>
      </c>
      <c r="BI204" s="93">
        <v>4.5999999999999996</v>
      </c>
      <c r="BJ204" s="98">
        <v>3</v>
      </c>
      <c r="BK204" s="98">
        <v>531000</v>
      </c>
      <c r="BL204" s="98">
        <v>65000</v>
      </c>
      <c r="BM204" s="98">
        <v>10800</v>
      </c>
      <c r="BN204" s="98">
        <v>1100</v>
      </c>
      <c r="BO204" s="99">
        <v>25.1</v>
      </c>
      <c r="BP204" s="98">
        <v>2.8</v>
      </c>
      <c r="BQ204" s="99">
        <v>43.9</v>
      </c>
      <c r="BR204" s="98">
        <v>4.5999999999999996</v>
      </c>
      <c r="BT204" s="95">
        <f t="shared" si="159"/>
        <v>9.5642701525054469E-2</v>
      </c>
      <c r="BU204" s="96">
        <f t="shared" si="160"/>
        <v>6.7073170731707323</v>
      </c>
      <c r="BV204" s="96">
        <f t="shared" si="161"/>
        <v>49.166666666666664</v>
      </c>
      <c r="BW204" s="96">
        <f t="shared" si="162"/>
        <v>0.57175398633257413</v>
      </c>
      <c r="BX204" s="99">
        <f t="shared" si="183"/>
        <v>10.968759999332049</v>
      </c>
      <c r="BY204" s="96">
        <f t="shared" si="163"/>
        <v>6.7073170731707323</v>
      </c>
      <c r="BZ204" s="97">
        <f t="shared" si="164"/>
        <v>4.2995622263914948E-3</v>
      </c>
      <c r="CA204" s="95">
        <f t="shared" si="165"/>
        <v>0.22402003082600036</v>
      </c>
      <c r="CB204" s="99">
        <f t="shared" si="157"/>
        <v>71.844001435474965</v>
      </c>
      <c r="CC204" s="99">
        <f t="shared" si="157"/>
        <v>7.5280730433527294</v>
      </c>
      <c r="CD204" s="100">
        <f t="shared" si="166"/>
        <v>701.80514273689687</v>
      </c>
      <c r="CE204" s="100">
        <f t="shared" si="182"/>
        <v>737.96975311523488</v>
      </c>
      <c r="CF204" s="100">
        <f t="shared" si="186"/>
        <v>62.375281377566139</v>
      </c>
      <c r="CG204" s="96">
        <f t="shared" si="185"/>
        <v>0.20834618370023428</v>
      </c>
      <c r="CH204" s="96">
        <f t="shared" si="168"/>
        <v>0.74339226564666272</v>
      </c>
      <c r="CJ204" s="95">
        <f t="shared" si="184"/>
        <v>0.9662447257383967</v>
      </c>
      <c r="CK204" s="93">
        <f t="shared" si="169"/>
        <v>8.9869281045751634</v>
      </c>
      <c r="CL204" s="93">
        <f t="shared" si="170"/>
        <v>0.69473684210526321</v>
      </c>
      <c r="CM204" s="93">
        <f t="shared" si="171"/>
        <v>1.7558886509635971</v>
      </c>
      <c r="CN204" s="93">
        <f t="shared" si="172"/>
        <v>19.607843137254903</v>
      </c>
      <c r="CO204" s="93">
        <f t="shared" si="173"/>
        <v>10.517241379310343</v>
      </c>
      <c r="CP204" s="93">
        <f t="shared" si="174"/>
        <v>112.40875912408761</v>
      </c>
      <c r="CQ204" s="93">
        <f t="shared" si="175"/>
        <v>275.40106951871655</v>
      </c>
      <c r="CR204" s="93">
        <f t="shared" si="176"/>
        <v>476.37795275590548</v>
      </c>
      <c r="CS204" s="93">
        <f t="shared" si="177"/>
        <v>925.79505300353355</v>
      </c>
      <c r="CT204" s="93">
        <f t="shared" si="178"/>
        <v>1595.1661631419938</v>
      </c>
      <c r="CU204" s="93">
        <f t="shared" si="179"/>
        <v>1933.3333333333333</v>
      </c>
      <c r="CV204" s="93">
        <f t="shared" si="180"/>
        <v>2700</v>
      </c>
      <c r="CW204" s="93">
        <f t="shared" si="181"/>
        <v>3779.5275590551182</v>
      </c>
    </row>
    <row r="205" spans="1:101" s="98" customFormat="1">
      <c r="A205" s="3" t="s">
        <v>427</v>
      </c>
      <c r="B205" s="3" t="s">
        <v>268</v>
      </c>
      <c r="C205" s="3"/>
      <c r="D205" s="93">
        <v>5.7842000000000002</v>
      </c>
      <c r="E205" s="94">
        <v>0.1852</v>
      </c>
      <c r="F205" s="94">
        <v>1.6000000000000001E-3</v>
      </c>
      <c r="G205" s="95">
        <v>13.3</v>
      </c>
      <c r="H205" s="96">
        <v>0.34</v>
      </c>
      <c r="I205" s="97">
        <v>0.52059999999999995</v>
      </c>
      <c r="J205" s="95">
        <v>1.0999999999999999E-2</v>
      </c>
      <c r="K205" s="96">
        <v>0.58681000000000005</v>
      </c>
      <c r="M205" s="99">
        <v>2702</v>
      </c>
      <c r="N205" s="98">
        <v>48</v>
      </c>
      <c r="O205" s="99">
        <v>2701.9</v>
      </c>
      <c r="P205" s="98">
        <v>7.2</v>
      </c>
      <c r="Q205" s="93">
        <v>-0.18</v>
      </c>
      <c r="R205" s="97">
        <v>1.5E-3</v>
      </c>
      <c r="T205" s="98">
        <v>150</v>
      </c>
      <c r="U205" s="98">
        <v>210</v>
      </c>
      <c r="V205" s="98" t="s">
        <v>250</v>
      </c>
      <c r="W205" s="98" t="s">
        <v>250</v>
      </c>
      <c r="X205" s="98">
        <v>0.48</v>
      </c>
      <c r="Y205" s="98">
        <v>0.31</v>
      </c>
      <c r="Z205" s="98">
        <v>3.28</v>
      </c>
      <c r="AA205" s="98">
        <v>0.99</v>
      </c>
      <c r="AB205" s="98">
        <v>1.43</v>
      </c>
      <c r="AC205" s="98">
        <v>0.6</v>
      </c>
      <c r="AD205" s="98">
        <v>2240</v>
      </c>
      <c r="AE205" s="98">
        <v>220</v>
      </c>
      <c r="AF205" s="95">
        <v>6.1999999999999998E-3</v>
      </c>
      <c r="AG205" s="97">
        <v>9.1999999999999998E-3</v>
      </c>
      <c r="AH205" s="96">
        <v>2.86</v>
      </c>
      <c r="AI205" s="96">
        <v>0.82</v>
      </c>
      <c r="AJ205" s="95">
        <v>0.115</v>
      </c>
      <c r="AK205" s="95">
        <v>4.8000000000000001E-2</v>
      </c>
      <c r="AL205" s="96">
        <v>2.19</v>
      </c>
      <c r="AM205" s="96">
        <v>0.99</v>
      </c>
      <c r="AN205" s="96">
        <v>6.3</v>
      </c>
      <c r="AO205" s="96">
        <v>1.8</v>
      </c>
      <c r="AP205" s="96">
        <v>1.08</v>
      </c>
      <c r="AQ205" s="96">
        <v>0.34</v>
      </c>
      <c r="AR205" s="96">
        <v>41.1</v>
      </c>
      <c r="AS205" s="93">
        <v>4.3</v>
      </c>
      <c r="AT205" s="96">
        <v>14.3</v>
      </c>
      <c r="AU205" s="96">
        <v>1.3</v>
      </c>
      <c r="AV205" s="99">
        <v>184</v>
      </c>
      <c r="AW205" s="98">
        <v>15</v>
      </c>
      <c r="AX205" s="98">
        <v>75.2</v>
      </c>
      <c r="AY205" s="98">
        <v>4.4000000000000004</v>
      </c>
      <c r="AZ205" s="98">
        <v>357</v>
      </c>
      <c r="BA205" s="98">
        <v>30</v>
      </c>
      <c r="BB205" s="98">
        <v>69</v>
      </c>
      <c r="BC205" s="98">
        <v>5.9</v>
      </c>
      <c r="BD205" s="98">
        <v>642</v>
      </c>
      <c r="BE205" s="98">
        <v>50</v>
      </c>
      <c r="BF205" s="98">
        <v>125</v>
      </c>
      <c r="BG205" s="98">
        <v>7.2</v>
      </c>
      <c r="BI205" s="93">
        <v>5.2</v>
      </c>
      <c r="BJ205" s="98">
        <v>2.6</v>
      </c>
      <c r="BK205" s="98">
        <v>504000</v>
      </c>
      <c r="BL205" s="98">
        <v>48000</v>
      </c>
      <c r="BM205" s="98">
        <v>8860</v>
      </c>
      <c r="BN205" s="98">
        <v>950</v>
      </c>
      <c r="BO205" s="99">
        <v>23</v>
      </c>
      <c r="BP205" s="98">
        <v>1.3</v>
      </c>
      <c r="BQ205" s="99">
        <v>42.4</v>
      </c>
      <c r="BR205" s="98">
        <v>2.5</v>
      </c>
      <c r="BT205" s="95">
        <f t="shared" si="159"/>
        <v>6.6043613707165105E-2</v>
      </c>
      <c r="BU205" s="96">
        <f t="shared" si="160"/>
        <v>1.3059360730593608</v>
      </c>
      <c r="BV205" s="96">
        <f t="shared" si="161"/>
        <v>56.884875846501131</v>
      </c>
      <c r="BW205" s="96">
        <f t="shared" si="162"/>
        <v>0.54245283018867929</v>
      </c>
      <c r="BX205" s="99">
        <f t="shared" si="183"/>
        <v>26.260671177087776</v>
      </c>
      <c r="BY205" s="96">
        <f t="shared" si="163"/>
        <v>1.3059360730593608</v>
      </c>
      <c r="BZ205" s="97">
        <f t="shared" si="164"/>
        <v>5.8300717547292891E-4</v>
      </c>
      <c r="CA205" s="95">
        <f t="shared" si="165"/>
        <v>0.20519000628306441</v>
      </c>
      <c r="CB205" s="99">
        <f t="shared" si="157"/>
        <v>69.389195008294735</v>
      </c>
      <c r="CC205" s="99">
        <f t="shared" si="157"/>
        <v>4.0913440453003966</v>
      </c>
      <c r="CD205" s="100">
        <f t="shared" si="166"/>
        <v>712.46456128217915</v>
      </c>
      <c r="CE205" s="100">
        <f t="shared" si="182"/>
        <v>749.43928257554785</v>
      </c>
      <c r="CF205" s="100">
        <f t="shared" si="186"/>
        <v>49.348971373125934</v>
      </c>
      <c r="CG205" s="96">
        <f t="shared" si="185"/>
        <v>-1.0009034375630708</v>
      </c>
      <c r="CH205" s="96">
        <f t="shared" si="168"/>
        <v>0.73244856764756994</v>
      </c>
      <c r="CJ205" s="95">
        <f t="shared" si="184"/>
        <v>2.6160337552742618E-2</v>
      </c>
      <c r="CK205" s="93">
        <f t="shared" si="169"/>
        <v>4.6732026143790852</v>
      </c>
      <c r="CL205" s="93">
        <f t="shared" si="170"/>
        <v>1.2105263157894737</v>
      </c>
      <c r="CM205" s="93">
        <f t="shared" si="171"/>
        <v>4.6895074946466808</v>
      </c>
      <c r="CN205" s="93">
        <f t="shared" si="172"/>
        <v>41.176470588235297</v>
      </c>
      <c r="CO205" s="93">
        <f t="shared" si="173"/>
        <v>18.620689655172413</v>
      </c>
      <c r="CP205" s="93">
        <f t="shared" si="174"/>
        <v>200.00000000000003</v>
      </c>
      <c r="CQ205" s="93">
        <f t="shared" si="175"/>
        <v>382.35294117647055</v>
      </c>
      <c r="CR205" s="93">
        <f t="shared" si="176"/>
        <v>724.40944881889766</v>
      </c>
      <c r="CS205" s="93">
        <f t="shared" si="177"/>
        <v>1328.6219081272086</v>
      </c>
      <c r="CT205" s="93">
        <f t="shared" si="178"/>
        <v>2157.0996978851963</v>
      </c>
      <c r="CU205" s="93">
        <f t="shared" si="179"/>
        <v>2705.8823529411766</v>
      </c>
      <c r="CV205" s="93">
        <f t="shared" si="180"/>
        <v>3776.4705882352937</v>
      </c>
      <c r="CW205" s="93">
        <f t="shared" si="181"/>
        <v>4921.2598425196857</v>
      </c>
    </row>
    <row r="206" spans="1:101" s="98" customFormat="1">
      <c r="A206" s="3" t="s">
        <v>428</v>
      </c>
      <c r="B206" s="3" t="s">
        <v>268</v>
      </c>
      <c r="C206" s="3"/>
      <c r="D206" s="93">
        <v>5.3052999999999999</v>
      </c>
      <c r="E206" s="94">
        <v>0.1845</v>
      </c>
      <c r="F206" s="94">
        <v>1.6999999999999999E-3</v>
      </c>
      <c r="G206" s="95">
        <v>13.28</v>
      </c>
      <c r="H206" s="96">
        <v>0.34</v>
      </c>
      <c r="I206" s="97">
        <v>0.5232</v>
      </c>
      <c r="J206" s="95">
        <v>1.2E-2</v>
      </c>
      <c r="K206" s="96">
        <v>0.51568999999999998</v>
      </c>
      <c r="M206" s="99">
        <v>2713</v>
      </c>
      <c r="N206" s="98">
        <v>51</v>
      </c>
      <c r="O206" s="99">
        <v>2695</v>
      </c>
      <c r="P206" s="98">
        <v>10</v>
      </c>
      <c r="Q206" s="93">
        <v>-0.68</v>
      </c>
      <c r="R206" s="97">
        <v>6.3000000000000003E-4</v>
      </c>
      <c r="T206" s="98">
        <v>220</v>
      </c>
      <c r="U206" s="98">
        <v>300</v>
      </c>
      <c r="V206" s="98">
        <v>0.5</v>
      </c>
      <c r="W206" s="98">
        <v>1.3</v>
      </c>
      <c r="X206" s="98">
        <v>0.48</v>
      </c>
      <c r="Y206" s="98">
        <v>0.56000000000000005</v>
      </c>
      <c r="Z206" s="98">
        <v>2.62</v>
      </c>
      <c r="AA206" s="98">
        <v>0.65</v>
      </c>
      <c r="AB206" s="98">
        <v>1.1299999999999999</v>
      </c>
      <c r="AC206" s="98">
        <v>0.55000000000000004</v>
      </c>
      <c r="AD206" s="98">
        <v>2340</v>
      </c>
      <c r="AE206" s="98">
        <v>340</v>
      </c>
      <c r="AF206" s="95">
        <v>0.36</v>
      </c>
      <c r="AG206" s="97">
        <v>0.52</v>
      </c>
      <c r="AH206" s="96">
        <v>5.5</v>
      </c>
      <c r="AI206" s="96">
        <v>1.2</v>
      </c>
      <c r="AJ206" s="95">
        <v>0.47</v>
      </c>
      <c r="AK206" s="95">
        <v>0.36</v>
      </c>
      <c r="AL206" s="96">
        <v>5.6</v>
      </c>
      <c r="AM206" s="96">
        <v>3.2</v>
      </c>
      <c r="AN206" s="96">
        <v>8.8000000000000007</v>
      </c>
      <c r="AO206" s="96">
        <v>2.7</v>
      </c>
      <c r="AP206" s="96">
        <v>0.94</v>
      </c>
      <c r="AQ206" s="96">
        <v>0.34</v>
      </c>
      <c r="AR206" s="96">
        <v>48.6</v>
      </c>
      <c r="AS206" s="93">
        <v>7.2</v>
      </c>
      <c r="AT206" s="96">
        <v>15.7</v>
      </c>
      <c r="AU206" s="96">
        <v>1.7</v>
      </c>
      <c r="AV206" s="99">
        <v>201</v>
      </c>
      <c r="AW206" s="98">
        <v>27</v>
      </c>
      <c r="AX206" s="98">
        <v>85</v>
      </c>
      <c r="AY206" s="98">
        <v>16</v>
      </c>
      <c r="AZ206" s="98">
        <v>401</v>
      </c>
      <c r="BA206" s="98">
        <v>55</v>
      </c>
      <c r="BB206" s="98">
        <v>78.400000000000006</v>
      </c>
      <c r="BC206" s="98">
        <v>9.8000000000000007</v>
      </c>
      <c r="BD206" s="98">
        <v>658</v>
      </c>
      <c r="BE206" s="98">
        <v>95</v>
      </c>
      <c r="BF206" s="98">
        <v>140</v>
      </c>
      <c r="BG206" s="98">
        <v>27</v>
      </c>
      <c r="BI206" s="93">
        <v>5.2</v>
      </c>
      <c r="BJ206" s="98">
        <v>3.2</v>
      </c>
      <c r="BK206" s="98">
        <v>560000</v>
      </c>
      <c r="BL206" s="98">
        <v>100000</v>
      </c>
      <c r="BM206" s="98">
        <v>10100</v>
      </c>
      <c r="BN206" s="98">
        <v>1700</v>
      </c>
      <c r="BO206" s="99">
        <v>28.3</v>
      </c>
      <c r="BP206" s="98">
        <v>4.3</v>
      </c>
      <c r="BQ206" s="99">
        <v>52.6</v>
      </c>
      <c r="BR206" s="98">
        <v>7.7</v>
      </c>
      <c r="BT206" s="95">
        <f t="shared" si="159"/>
        <v>7.9939209726443777E-2</v>
      </c>
      <c r="BU206" s="96">
        <f t="shared" si="160"/>
        <v>0.98214285714285721</v>
      </c>
      <c r="BV206" s="96">
        <f t="shared" si="161"/>
        <v>55.445544554455445</v>
      </c>
      <c r="BW206" s="96">
        <f t="shared" si="162"/>
        <v>0.53802281368821292</v>
      </c>
      <c r="BX206" s="99">
        <f t="shared" si="183"/>
        <v>3.2782876954023346</v>
      </c>
      <c r="BY206" s="96">
        <f t="shared" si="163"/>
        <v>0.98214285714285721</v>
      </c>
      <c r="BZ206" s="97">
        <f t="shared" si="164"/>
        <v>4.1971916971916975E-4</v>
      </c>
      <c r="CA206" s="95">
        <f t="shared" si="165"/>
        <v>0.13896070789931647</v>
      </c>
      <c r="CB206" s="99">
        <f t="shared" si="157"/>
        <v>86.081878713120346</v>
      </c>
      <c r="CC206" s="99">
        <f t="shared" si="157"/>
        <v>12.601339659525223</v>
      </c>
      <c r="CD206" s="100">
        <f t="shared" si="166"/>
        <v>712.46456128217915</v>
      </c>
      <c r="CE206" s="100">
        <f t="shared" si="182"/>
        <v>749.43928257554785</v>
      </c>
      <c r="CF206" s="100">
        <f t="shared" si="186"/>
        <v>60.217632138382122</v>
      </c>
      <c r="CG206" s="96">
        <f t="shared" si="185"/>
        <v>-5.4528454350127209E-2</v>
      </c>
      <c r="CH206" s="96">
        <f t="shared" si="168"/>
        <v>0.79093317075714609</v>
      </c>
      <c r="CJ206" s="95">
        <f t="shared" si="184"/>
        <v>1.518987341772152</v>
      </c>
      <c r="CK206" s="93">
        <f t="shared" si="169"/>
        <v>8.9869281045751634</v>
      </c>
      <c r="CL206" s="93">
        <f t="shared" si="170"/>
        <v>4.947368421052631</v>
      </c>
      <c r="CM206" s="93">
        <f t="shared" si="171"/>
        <v>11.991434689507493</v>
      </c>
      <c r="CN206" s="93">
        <f t="shared" si="172"/>
        <v>57.516339869281055</v>
      </c>
      <c r="CO206" s="93">
        <f t="shared" si="173"/>
        <v>16.206896551724135</v>
      </c>
      <c r="CP206" s="93">
        <f t="shared" si="174"/>
        <v>236.49635036496352</v>
      </c>
      <c r="CQ206" s="93">
        <f t="shared" si="175"/>
        <v>419.78609625668446</v>
      </c>
      <c r="CR206" s="93">
        <f t="shared" si="176"/>
        <v>791.33858267716539</v>
      </c>
      <c r="CS206" s="93">
        <f t="shared" si="177"/>
        <v>1501.7667844522969</v>
      </c>
      <c r="CT206" s="93">
        <f t="shared" si="178"/>
        <v>2422.9607250755284</v>
      </c>
      <c r="CU206" s="93">
        <f t="shared" si="179"/>
        <v>3074.5098039215691</v>
      </c>
      <c r="CV206" s="93">
        <f t="shared" si="180"/>
        <v>3870.5882352941176</v>
      </c>
      <c r="CW206" s="93">
        <f t="shared" si="181"/>
        <v>5511.8110236220473</v>
      </c>
    </row>
    <row r="207" spans="1:101" s="98" customFormat="1">
      <c r="A207" s="3" t="s">
        <v>429</v>
      </c>
      <c r="B207" s="3" t="s">
        <v>268</v>
      </c>
      <c r="C207" s="3"/>
      <c r="D207" s="93">
        <v>5.5801999999999996</v>
      </c>
      <c r="E207" s="94">
        <v>0.1847</v>
      </c>
      <c r="F207" s="94">
        <v>3.0000000000000001E-3</v>
      </c>
      <c r="G207" s="95">
        <v>13.55</v>
      </c>
      <c r="H207" s="96">
        <v>0.41</v>
      </c>
      <c r="I207" s="97">
        <v>0.53320000000000001</v>
      </c>
      <c r="J207" s="95">
        <v>1.2E-2</v>
      </c>
      <c r="K207" s="96">
        <v>0.50404000000000004</v>
      </c>
      <c r="M207" s="99">
        <v>2755</v>
      </c>
      <c r="N207" s="98">
        <v>51</v>
      </c>
      <c r="O207" s="99">
        <v>2696</v>
      </c>
      <c r="P207" s="98">
        <v>15</v>
      </c>
      <c r="Q207" s="93">
        <v>-2.2000000000000002</v>
      </c>
      <c r="R207" s="97">
        <v>2.8E-5</v>
      </c>
      <c r="T207" s="98">
        <v>300</v>
      </c>
      <c r="U207" s="98">
        <v>220</v>
      </c>
      <c r="V207" s="98">
        <v>1</v>
      </c>
      <c r="W207" s="98">
        <v>1.2</v>
      </c>
      <c r="X207" s="98">
        <v>0.23</v>
      </c>
      <c r="Y207" s="98">
        <v>0.19</v>
      </c>
      <c r="Z207" s="98">
        <v>4.5</v>
      </c>
      <c r="AA207" s="98">
        <v>1.1000000000000001</v>
      </c>
      <c r="AB207" s="98">
        <v>1.36</v>
      </c>
      <c r="AC207" s="98">
        <v>0.28999999999999998</v>
      </c>
      <c r="AD207" s="98">
        <v>1430</v>
      </c>
      <c r="AE207" s="98">
        <v>140</v>
      </c>
      <c r="AF207" s="95" t="s">
        <v>250</v>
      </c>
      <c r="AG207" s="97" t="s">
        <v>250</v>
      </c>
      <c r="AH207" s="96">
        <v>3.09</v>
      </c>
      <c r="AI207" s="96">
        <v>0.9</v>
      </c>
      <c r="AJ207" s="95">
        <v>4.9000000000000002E-2</v>
      </c>
      <c r="AK207" s="95">
        <v>3.1E-2</v>
      </c>
      <c r="AL207" s="96">
        <v>1.6</v>
      </c>
      <c r="AM207" s="96">
        <v>0.77</v>
      </c>
      <c r="AN207" s="96">
        <v>2.6</v>
      </c>
      <c r="AO207" s="96">
        <v>1.3</v>
      </c>
      <c r="AP207" s="96">
        <v>0.69</v>
      </c>
      <c r="AQ207" s="96">
        <v>0.2</v>
      </c>
      <c r="AR207" s="96">
        <v>23.1</v>
      </c>
      <c r="AS207" s="93">
        <v>4.2</v>
      </c>
      <c r="AT207" s="96">
        <v>9</v>
      </c>
      <c r="AU207" s="96">
        <v>1.6</v>
      </c>
      <c r="AV207" s="99">
        <v>126</v>
      </c>
      <c r="AW207" s="98">
        <v>16</v>
      </c>
      <c r="AX207" s="98">
        <v>51.9</v>
      </c>
      <c r="AY207" s="98">
        <v>5</v>
      </c>
      <c r="AZ207" s="98">
        <v>249</v>
      </c>
      <c r="BA207" s="98">
        <v>31</v>
      </c>
      <c r="BB207" s="98">
        <v>50.5</v>
      </c>
      <c r="BC207" s="98">
        <v>7</v>
      </c>
      <c r="BD207" s="98">
        <v>497</v>
      </c>
      <c r="BE207" s="98">
        <v>65</v>
      </c>
      <c r="BF207" s="98">
        <v>97</v>
      </c>
      <c r="BG207" s="98">
        <v>12</v>
      </c>
      <c r="BI207" s="93">
        <v>4.3</v>
      </c>
      <c r="BJ207" s="98">
        <v>2</v>
      </c>
      <c r="BK207" s="98">
        <v>521000</v>
      </c>
      <c r="BL207" s="98">
        <v>73000</v>
      </c>
      <c r="BM207" s="98">
        <v>8600</v>
      </c>
      <c r="BN207" s="98">
        <v>1000</v>
      </c>
      <c r="BO207" s="99">
        <v>15</v>
      </c>
      <c r="BP207" s="98">
        <v>1.4</v>
      </c>
      <c r="BQ207" s="99">
        <v>38</v>
      </c>
      <c r="BR207" s="98">
        <v>3.6</v>
      </c>
      <c r="BT207" s="95">
        <f t="shared" si="159"/>
        <v>7.6458752515090544E-2</v>
      </c>
      <c r="BU207" s="96">
        <f t="shared" si="160"/>
        <v>1.9312499999999999</v>
      </c>
      <c r="BV207" s="96">
        <f t="shared" si="161"/>
        <v>60.581395348837212</v>
      </c>
      <c r="BW207" s="96">
        <f t="shared" si="162"/>
        <v>0.39473684210526316</v>
      </c>
      <c r="BX207" s="99"/>
      <c r="BY207" s="96">
        <f t="shared" si="163"/>
        <v>1.9312499999999999</v>
      </c>
      <c r="BZ207" s="97">
        <f t="shared" si="164"/>
        <v>1.3505244755244756E-3</v>
      </c>
      <c r="CA207" s="95">
        <f t="shared" si="165"/>
        <v>0.27219494888979606</v>
      </c>
      <c r="CB207" s="99">
        <f t="shared" si="157"/>
        <v>62.18842948856603</v>
      </c>
      <c r="CC207" s="99">
        <f t="shared" si="157"/>
        <v>5.891535425232572</v>
      </c>
      <c r="CD207" s="100">
        <f t="shared" si="166"/>
        <v>696.03930876541733</v>
      </c>
      <c r="CE207" s="100">
        <f t="shared" si="182"/>
        <v>731.7695946036456</v>
      </c>
      <c r="CF207" s="100">
        <f t="shared" si="186"/>
        <v>44.624617771150987</v>
      </c>
      <c r="CG207" s="96">
        <f t="shared" si="185"/>
        <v>-0.60728586652074812</v>
      </c>
      <c r="CH207" s="96">
        <f t="shared" si="168"/>
        <v>0.73934922235085898</v>
      </c>
      <c r="CJ207" s="95"/>
      <c r="CK207" s="93">
        <f t="shared" si="169"/>
        <v>5.0490196078431371</v>
      </c>
      <c r="CL207" s="93">
        <f t="shared" si="170"/>
        <v>0.51578947368421058</v>
      </c>
      <c r="CM207" s="93">
        <f t="shared" si="171"/>
        <v>3.4261241970021414</v>
      </c>
      <c r="CN207" s="93">
        <f t="shared" si="172"/>
        <v>16.993464052287582</v>
      </c>
      <c r="CO207" s="93">
        <f t="shared" si="173"/>
        <v>11.896551724137929</v>
      </c>
      <c r="CP207" s="93">
        <f t="shared" si="174"/>
        <v>112.40875912408761</v>
      </c>
      <c r="CQ207" s="93">
        <f t="shared" si="175"/>
        <v>240.64171122994651</v>
      </c>
      <c r="CR207" s="93">
        <f t="shared" si="176"/>
        <v>496.06299212598424</v>
      </c>
      <c r="CS207" s="93">
        <f t="shared" si="177"/>
        <v>916.96113074204948</v>
      </c>
      <c r="CT207" s="93">
        <f t="shared" si="178"/>
        <v>1504.5317220543807</v>
      </c>
      <c r="CU207" s="93">
        <f t="shared" si="179"/>
        <v>1980.3921568627452</v>
      </c>
      <c r="CV207" s="93">
        <f t="shared" si="180"/>
        <v>2923.5294117647059</v>
      </c>
      <c r="CW207" s="93">
        <f t="shared" si="181"/>
        <v>3818.8976377952758</v>
      </c>
    </row>
    <row r="208" spans="1:101" s="98" customFormat="1">
      <c r="A208" s="3" t="s">
        <v>430</v>
      </c>
      <c r="B208" s="3" t="s">
        <v>268</v>
      </c>
      <c r="C208" s="3"/>
      <c r="D208" s="93">
        <v>5.1196000000000002</v>
      </c>
      <c r="E208" s="94">
        <v>0.18590000000000001</v>
      </c>
      <c r="F208" s="94">
        <v>1.4E-3</v>
      </c>
      <c r="G208" s="95">
        <v>13.25</v>
      </c>
      <c r="H208" s="96">
        <v>0.33</v>
      </c>
      <c r="I208" s="97">
        <v>0.51790000000000003</v>
      </c>
      <c r="J208" s="95">
        <v>1.0999999999999999E-2</v>
      </c>
      <c r="K208" s="96">
        <v>0.58786000000000005</v>
      </c>
      <c r="M208" s="99">
        <v>2690</v>
      </c>
      <c r="N208" s="98">
        <v>49</v>
      </c>
      <c r="O208" s="99">
        <v>2705.6</v>
      </c>
      <c r="P208" s="98">
        <v>7</v>
      </c>
      <c r="Q208" s="93">
        <v>0.56999999999999995</v>
      </c>
      <c r="R208" s="97">
        <v>2.8E-3</v>
      </c>
      <c r="T208" s="98">
        <v>420</v>
      </c>
      <c r="U208" s="98">
        <v>120</v>
      </c>
      <c r="V208" s="98" t="s">
        <v>250</v>
      </c>
      <c r="W208" s="98" t="s">
        <v>250</v>
      </c>
      <c r="X208" s="98">
        <v>0.1</v>
      </c>
      <c r="Y208" s="98">
        <v>0.2</v>
      </c>
      <c r="Z208" s="98">
        <v>9.3000000000000007</v>
      </c>
      <c r="AA208" s="98">
        <v>1.1000000000000001</v>
      </c>
      <c r="AB208" s="98">
        <v>3.2</v>
      </c>
      <c r="AC208" s="98">
        <v>1.1000000000000001</v>
      </c>
      <c r="AD208" s="98">
        <v>1770</v>
      </c>
      <c r="AE208" s="98">
        <v>160</v>
      </c>
      <c r="AF208" s="95">
        <v>2.2000000000000001E-3</v>
      </c>
      <c r="AG208" s="97">
        <v>5.4000000000000003E-3</v>
      </c>
      <c r="AH208" s="96">
        <v>5.85</v>
      </c>
      <c r="AI208" s="96">
        <v>0.9</v>
      </c>
      <c r="AJ208" s="95">
        <v>3.3000000000000002E-2</v>
      </c>
      <c r="AK208" s="95">
        <v>2.5000000000000001E-2</v>
      </c>
      <c r="AL208" s="96">
        <v>0.43</v>
      </c>
      <c r="AM208" s="96">
        <v>0.46</v>
      </c>
      <c r="AN208" s="96">
        <v>3.5</v>
      </c>
      <c r="AO208" s="96">
        <v>1.1000000000000001</v>
      </c>
      <c r="AP208" s="96">
        <v>0.51</v>
      </c>
      <c r="AQ208" s="96">
        <v>0.17</v>
      </c>
      <c r="AR208" s="96">
        <v>27.5</v>
      </c>
      <c r="AS208" s="93">
        <v>5.4</v>
      </c>
      <c r="AT208" s="96">
        <v>9.1</v>
      </c>
      <c r="AU208" s="96">
        <v>1.1000000000000001</v>
      </c>
      <c r="AV208" s="99">
        <v>135</v>
      </c>
      <c r="AW208" s="98">
        <v>14</v>
      </c>
      <c r="AX208" s="98">
        <v>60.2</v>
      </c>
      <c r="AY208" s="98">
        <v>5.6</v>
      </c>
      <c r="AZ208" s="98">
        <v>307</v>
      </c>
      <c r="BA208" s="98">
        <v>31</v>
      </c>
      <c r="BB208" s="98">
        <v>62.8</v>
      </c>
      <c r="BC208" s="98">
        <v>3.6</v>
      </c>
      <c r="BD208" s="98">
        <v>602</v>
      </c>
      <c r="BE208" s="98">
        <v>59</v>
      </c>
      <c r="BF208" s="98">
        <v>126</v>
      </c>
      <c r="BG208" s="98">
        <v>11</v>
      </c>
      <c r="BI208" s="93">
        <v>4.5</v>
      </c>
      <c r="BJ208" s="98">
        <v>2</v>
      </c>
      <c r="BK208" s="98">
        <v>473000</v>
      </c>
      <c r="BL208" s="98">
        <v>34000</v>
      </c>
      <c r="BM208" s="98">
        <v>9100</v>
      </c>
      <c r="BN208" s="98">
        <v>800</v>
      </c>
      <c r="BO208" s="99">
        <v>22</v>
      </c>
      <c r="BP208" s="98">
        <v>1.4</v>
      </c>
      <c r="BQ208" s="99">
        <v>60.7</v>
      </c>
      <c r="BR208" s="98">
        <v>4</v>
      </c>
      <c r="BT208" s="95">
        <f t="shared" si="159"/>
        <v>0.10083056478405317</v>
      </c>
      <c r="BU208" s="96">
        <f t="shared" si="160"/>
        <v>13.604651162790697</v>
      </c>
      <c r="BV208" s="96">
        <f t="shared" si="161"/>
        <v>51.978021978021978</v>
      </c>
      <c r="BW208" s="96">
        <f t="shared" si="162"/>
        <v>0.36243822075782534</v>
      </c>
      <c r="BX208" s="99">
        <f>CK208/SQRT(CJ208*CL208)</f>
        <v>168.33410304915552</v>
      </c>
      <c r="BY208" s="96">
        <f t="shared" si="163"/>
        <v>13.604651162790697</v>
      </c>
      <c r="BZ208" s="97">
        <f t="shared" si="164"/>
        <v>7.6862435947970039E-3</v>
      </c>
      <c r="CA208" s="95">
        <f t="shared" si="165"/>
        <v>0.15892544712497506</v>
      </c>
      <c r="CB208" s="99">
        <f t="shared" si="157"/>
        <v>99.337833419893641</v>
      </c>
      <c r="CC208" s="99">
        <f t="shared" si="157"/>
        <v>6.546150472480635</v>
      </c>
      <c r="CD208" s="100">
        <f t="shared" si="166"/>
        <v>699.91855402232056</v>
      </c>
      <c r="CE208" s="100">
        <f t="shared" si="182"/>
        <v>735.94075342292217</v>
      </c>
      <c r="CF208" s="100">
        <f t="shared" si="186"/>
        <v>43.087944294798838</v>
      </c>
      <c r="CG208" s="96">
        <f t="shared" si="185"/>
        <v>5.3549146696924232E-2</v>
      </c>
      <c r="CH208" s="96">
        <f t="shared" si="168"/>
        <v>0.53336271428588089</v>
      </c>
      <c r="CJ208" s="95">
        <f>AF208/CJ$4</f>
        <v>9.2827004219409297E-3</v>
      </c>
      <c r="CK208" s="93">
        <f t="shared" si="169"/>
        <v>9.5588235294117645</v>
      </c>
      <c r="CL208" s="93">
        <f t="shared" si="170"/>
        <v>0.3473684210526316</v>
      </c>
      <c r="CM208" s="93">
        <f t="shared" si="171"/>
        <v>0.92077087794432544</v>
      </c>
      <c r="CN208" s="93">
        <f t="shared" si="172"/>
        <v>22.875816993464053</v>
      </c>
      <c r="CO208" s="93">
        <f t="shared" si="173"/>
        <v>8.7931034482758612</v>
      </c>
      <c r="CP208" s="93">
        <f t="shared" si="174"/>
        <v>133.81995133819953</v>
      </c>
      <c r="CQ208" s="93">
        <f t="shared" si="175"/>
        <v>243.31550802139034</v>
      </c>
      <c r="CR208" s="93">
        <f t="shared" si="176"/>
        <v>531.49606299212599</v>
      </c>
      <c r="CS208" s="93">
        <f t="shared" si="177"/>
        <v>1063.6042402826856</v>
      </c>
      <c r="CT208" s="93">
        <f t="shared" si="178"/>
        <v>1854.9848942598187</v>
      </c>
      <c r="CU208" s="93">
        <f t="shared" si="179"/>
        <v>2462.7450980392159</v>
      </c>
      <c r="CV208" s="93">
        <f t="shared" si="180"/>
        <v>3541.1764705882351</v>
      </c>
      <c r="CW208" s="93">
        <f t="shared" si="181"/>
        <v>4960.6299212598424</v>
      </c>
    </row>
    <row r="209" spans="1:101" s="118" customFormat="1">
      <c r="A209" s="111" t="s">
        <v>431</v>
      </c>
      <c r="B209" s="111" t="s">
        <v>268</v>
      </c>
      <c r="C209" s="111"/>
      <c r="D209" s="113">
        <v>5.6406000000000001</v>
      </c>
      <c r="E209" s="114">
        <v>0.18740000000000001</v>
      </c>
      <c r="F209" s="114">
        <v>1.6999999999999999E-3</v>
      </c>
      <c r="G209" s="115">
        <v>14.08</v>
      </c>
      <c r="H209" s="116">
        <v>0.36</v>
      </c>
      <c r="I209" s="117">
        <v>0.54610000000000003</v>
      </c>
      <c r="J209" s="115">
        <v>1.2E-2</v>
      </c>
      <c r="K209" s="116">
        <v>0.39180999999999999</v>
      </c>
      <c r="M209" s="119">
        <v>2809.1</v>
      </c>
      <c r="N209" s="118">
        <v>49</v>
      </c>
      <c r="O209" s="119">
        <v>2718.6</v>
      </c>
      <c r="P209" s="118">
        <v>9.4</v>
      </c>
      <c r="Q209" s="113">
        <v>-3.33</v>
      </c>
      <c r="R209" s="117">
        <v>0</v>
      </c>
      <c r="T209" s="118">
        <v>318</v>
      </c>
      <c r="U209" s="118">
        <v>90</v>
      </c>
      <c r="V209" s="118">
        <v>0.4</v>
      </c>
      <c r="W209" s="118">
        <v>1.3</v>
      </c>
      <c r="X209" s="118">
        <v>0.31</v>
      </c>
      <c r="Y209" s="118">
        <v>0.23</v>
      </c>
      <c r="Z209" s="118">
        <v>3.68</v>
      </c>
      <c r="AA209" s="118">
        <v>0.79</v>
      </c>
      <c r="AB209" s="118">
        <v>1.48</v>
      </c>
      <c r="AC209" s="118">
        <v>0.37</v>
      </c>
      <c r="AD209" s="118">
        <v>1780</v>
      </c>
      <c r="AE209" s="118">
        <v>180</v>
      </c>
      <c r="AF209" s="115">
        <v>1.06</v>
      </c>
      <c r="AG209" s="117">
        <v>0.23</v>
      </c>
      <c r="AH209" s="116">
        <v>5.9</v>
      </c>
      <c r="AI209" s="116">
        <v>1.3</v>
      </c>
      <c r="AJ209" s="115">
        <v>0.35</v>
      </c>
      <c r="AK209" s="115">
        <v>0.14000000000000001</v>
      </c>
      <c r="AL209" s="116">
        <v>2.7</v>
      </c>
      <c r="AM209" s="116">
        <v>1</v>
      </c>
      <c r="AN209" s="116">
        <v>4.9000000000000004</v>
      </c>
      <c r="AO209" s="116">
        <v>1.3</v>
      </c>
      <c r="AP209" s="116">
        <v>0.54</v>
      </c>
      <c r="AQ209" s="116">
        <v>0.23</v>
      </c>
      <c r="AR209" s="116">
        <v>34.299999999999997</v>
      </c>
      <c r="AS209" s="113">
        <v>3.2</v>
      </c>
      <c r="AT209" s="116">
        <v>13.5</v>
      </c>
      <c r="AU209" s="116">
        <v>1.3</v>
      </c>
      <c r="AV209" s="119">
        <v>164</v>
      </c>
      <c r="AW209" s="118">
        <v>15</v>
      </c>
      <c r="AX209" s="118">
        <v>63.6</v>
      </c>
      <c r="AY209" s="118">
        <v>6.5</v>
      </c>
      <c r="AZ209" s="118">
        <v>300</v>
      </c>
      <c r="BA209" s="118">
        <v>32</v>
      </c>
      <c r="BB209" s="118">
        <v>61.9</v>
      </c>
      <c r="BC209" s="118">
        <v>6.7</v>
      </c>
      <c r="BD209" s="118">
        <v>529</v>
      </c>
      <c r="BE209" s="118">
        <v>48</v>
      </c>
      <c r="BF209" s="118">
        <v>105.5</v>
      </c>
      <c r="BG209" s="118">
        <v>9.8000000000000007</v>
      </c>
      <c r="BI209" s="113">
        <v>4.0999999999999996</v>
      </c>
      <c r="BJ209" s="118">
        <v>2.2000000000000002</v>
      </c>
      <c r="BK209" s="118">
        <v>468000</v>
      </c>
      <c r="BL209" s="118">
        <v>61000</v>
      </c>
      <c r="BM209" s="118">
        <v>8700</v>
      </c>
      <c r="BN209" s="118">
        <v>1500</v>
      </c>
      <c r="BO209" s="119">
        <v>29.6</v>
      </c>
      <c r="BP209" s="118">
        <v>2.9</v>
      </c>
      <c r="BQ209" s="119">
        <v>52</v>
      </c>
      <c r="BR209" s="118">
        <v>5.2</v>
      </c>
      <c r="BT209" s="115"/>
      <c r="BU209" s="116"/>
      <c r="BV209" s="116"/>
      <c r="BW209" s="116"/>
      <c r="BX209" s="119"/>
      <c r="BY209" s="116"/>
      <c r="BZ209" s="117"/>
      <c r="CA209" s="115"/>
      <c r="CB209" s="99"/>
      <c r="CC209" s="99"/>
      <c r="CD209" s="120"/>
      <c r="CE209" s="100"/>
      <c r="CF209" s="100"/>
      <c r="CG209" s="116"/>
      <c r="CH209" s="96"/>
      <c r="CJ209" s="115">
        <f>AF209/CJ$4</f>
        <v>4.4725738396624477</v>
      </c>
      <c r="CK209" s="113">
        <f t="shared" si="169"/>
        <v>9.6405228758169947</v>
      </c>
      <c r="CL209" s="113">
        <f t="shared" si="170"/>
        <v>3.6842105263157894</v>
      </c>
      <c r="CM209" s="113">
        <f t="shared" si="171"/>
        <v>5.7815845824411136</v>
      </c>
      <c r="CN209" s="113">
        <f t="shared" si="172"/>
        <v>32.026143790849673</v>
      </c>
      <c r="CO209" s="113">
        <f t="shared" si="173"/>
        <v>9.3103448275862064</v>
      </c>
      <c r="CP209" s="113">
        <f t="shared" si="174"/>
        <v>166.90997566909977</v>
      </c>
      <c r="CQ209" s="113">
        <f t="shared" si="175"/>
        <v>360.96256684491976</v>
      </c>
      <c r="CR209" s="113">
        <f t="shared" si="176"/>
        <v>645.66929133858264</v>
      </c>
      <c r="CS209" s="113">
        <f t="shared" si="177"/>
        <v>1123.6749116607775</v>
      </c>
      <c r="CT209" s="113">
        <f t="shared" si="178"/>
        <v>1812.6888217522658</v>
      </c>
      <c r="CU209" s="113">
        <f t="shared" si="179"/>
        <v>2427.4509803921569</v>
      </c>
      <c r="CV209" s="113">
        <f t="shared" si="180"/>
        <v>3111.7647058823527</v>
      </c>
      <c r="CW209" s="113">
        <f t="shared" si="181"/>
        <v>4153.5433070866147</v>
      </c>
    </row>
    <row r="210" spans="1:101" s="98" customFormat="1">
      <c r="A210" s="3" t="s">
        <v>432</v>
      </c>
      <c r="B210" s="3" t="s">
        <v>268</v>
      </c>
      <c r="C210" s="3"/>
      <c r="D210" s="93">
        <v>6.1085000000000003</v>
      </c>
      <c r="E210" s="94">
        <v>0.1867</v>
      </c>
      <c r="F210" s="94">
        <v>2.2000000000000001E-3</v>
      </c>
      <c r="G210" s="95">
        <v>13.37</v>
      </c>
      <c r="H210" s="96">
        <v>0.37</v>
      </c>
      <c r="I210" s="97">
        <v>0.52059999999999995</v>
      </c>
      <c r="J210" s="95">
        <v>1.2E-2</v>
      </c>
      <c r="K210" s="96">
        <v>0.62507999999999997</v>
      </c>
      <c r="M210" s="99">
        <v>2702</v>
      </c>
      <c r="N210" s="98">
        <v>52</v>
      </c>
      <c r="O210" s="99">
        <v>2714</v>
      </c>
      <c r="P210" s="98">
        <v>11</v>
      </c>
      <c r="Q210" s="93">
        <v>0.43</v>
      </c>
      <c r="R210" s="97">
        <v>3.8999999999999998E-3</v>
      </c>
      <c r="T210" s="98">
        <v>300</v>
      </c>
      <c r="U210" s="98">
        <v>160</v>
      </c>
      <c r="V210" s="98" t="s">
        <v>250</v>
      </c>
      <c r="W210" s="98" t="s">
        <v>250</v>
      </c>
      <c r="X210" s="98">
        <v>0.32</v>
      </c>
      <c r="Y210" s="98">
        <v>0.25</v>
      </c>
      <c r="Z210" s="98">
        <v>2.57</v>
      </c>
      <c r="AA210" s="98">
        <v>0.6</v>
      </c>
      <c r="AB210" s="98">
        <v>0.83</v>
      </c>
      <c r="AC210" s="98">
        <v>0.39</v>
      </c>
      <c r="AD210" s="98">
        <v>2150</v>
      </c>
      <c r="AE210" s="98">
        <v>210</v>
      </c>
      <c r="AF210" s="95" t="s">
        <v>250</v>
      </c>
      <c r="AG210" s="97" t="s">
        <v>250</v>
      </c>
      <c r="AH210" s="96">
        <v>2.87</v>
      </c>
      <c r="AI210" s="96">
        <v>0.49</v>
      </c>
      <c r="AJ210" s="95">
        <v>0.161</v>
      </c>
      <c r="AK210" s="95">
        <v>0.06</v>
      </c>
      <c r="AL210" s="96">
        <v>2.7</v>
      </c>
      <c r="AM210" s="96">
        <v>1.1000000000000001</v>
      </c>
      <c r="AN210" s="96">
        <v>5.6</v>
      </c>
      <c r="AO210" s="96">
        <v>1.4</v>
      </c>
      <c r="AP210" s="96">
        <v>1.31</v>
      </c>
      <c r="AQ210" s="96">
        <v>0.33</v>
      </c>
      <c r="AR210" s="96">
        <v>41.9</v>
      </c>
      <c r="AS210" s="93">
        <v>8.8000000000000007</v>
      </c>
      <c r="AT210" s="96">
        <v>15.7</v>
      </c>
      <c r="AU210" s="96">
        <v>2.1</v>
      </c>
      <c r="AV210" s="99">
        <v>207</v>
      </c>
      <c r="AW210" s="98">
        <v>23</v>
      </c>
      <c r="AX210" s="98">
        <v>84</v>
      </c>
      <c r="AY210" s="98">
        <v>11</v>
      </c>
      <c r="AZ210" s="98">
        <v>373</v>
      </c>
      <c r="BA210" s="98">
        <v>40</v>
      </c>
      <c r="BB210" s="98">
        <v>72</v>
      </c>
      <c r="BC210" s="98">
        <v>11</v>
      </c>
      <c r="BD210" s="98">
        <v>648</v>
      </c>
      <c r="BE210" s="98">
        <v>79</v>
      </c>
      <c r="BF210" s="98">
        <v>132</v>
      </c>
      <c r="BG210" s="98">
        <v>14</v>
      </c>
      <c r="BI210" s="93">
        <v>4.7</v>
      </c>
      <c r="BJ210" s="98">
        <v>2.8</v>
      </c>
      <c r="BK210" s="98">
        <v>549000</v>
      </c>
      <c r="BL210" s="98">
        <v>52000</v>
      </c>
      <c r="BM210" s="98">
        <v>9080</v>
      </c>
      <c r="BN210" s="98">
        <v>660</v>
      </c>
      <c r="BO210" s="99">
        <v>24.2</v>
      </c>
      <c r="BP210" s="98">
        <v>2</v>
      </c>
      <c r="BQ210" s="99">
        <v>44.2</v>
      </c>
      <c r="BR210" s="98">
        <v>3.6</v>
      </c>
      <c r="BT210" s="95">
        <f t="shared" si="159"/>
        <v>6.8209876543209882E-2</v>
      </c>
      <c r="BU210" s="96">
        <f t="shared" si="160"/>
        <v>1.0629629629629629</v>
      </c>
      <c r="BV210" s="96">
        <f t="shared" si="161"/>
        <v>60.462555066079297</v>
      </c>
      <c r="BW210" s="96">
        <f t="shared" si="162"/>
        <v>0.54751131221719451</v>
      </c>
      <c r="BX210" s="99"/>
      <c r="BY210" s="96">
        <f t="shared" si="163"/>
        <v>1.0629629629629629</v>
      </c>
      <c r="BZ210" s="97">
        <f t="shared" si="164"/>
        <v>4.9440137812230831E-4</v>
      </c>
      <c r="CA210" s="95">
        <f t="shared" si="165"/>
        <v>0.26145316626871634</v>
      </c>
      <c r="CB210" s="99">
        <f t="shared" si="157"/>
        <v>72.334962720911022</v>
      </c>
      <c r="CC210" s="99">
        <f t="shared" si="157"/>
        <v>5.891535425232572</v>
      </c>
      <c r="CD210" s="100">
        <f t="shared" si="166"/>
        <v>703.65825108924321</v>
      </c>
      <c r="CE210" s="100">
        <f t="shared" si="182"/>
        <v>739.96302873525235</v>
      </c>
      <c r="CF210" s="100">
        <f t="shared" si="186"/>
        <v>57.359924002025288</v>
      </c>
      <c r="CG210" s="96">
        <f>2.28+3.99*LOG(AH210/((CB210*BI210)^(1/2)))</f>
        <v>-0.94328624125859228</v>
      </c>
      <c r="CH210" s="96">
        <f t="shared" si="168"/>
        <v>0.66608519536117095</v>
      </c>
      <c r="CJ210" s="95"/>
      <c r="CK210" s="93">
        <f t="shared" si="169"/>
        <v>4.6895424836601309</v>
      </c>
      <c r="CL210" s="93">
        <f t="shared" si="170"/>
        <v>1.6947368421052631</v>
      </c>
      <c r="CM210" s="93">
        <f t="shared" si="171"/>
        <v>5.7815845824411136</v>
      </c>
      <c r="CN210" s="93">
        <f t="shared" si="172"/>
        <v>36.601307189542482</v>
      </c>
      <c r="CO210" s="93">
        <f t="shared" si="173"/>
        <v>22.586206896551722</v>
      </c>
      <c r="CP210" s="93">
        <f t="shared" si="174"/>
        <v>203.89294403892944</v>
      </c>
      <c r="CQ210" s="93">
        <f t="shared" si="175"/>
        <v>419.78609625668446</v>
      </c>
      <c r="CR210" s="93">
        <f t="shared" si="176"/>
        <v>814.96062992125985</v>
      </c>
      <c r="CS210" s="93">
        <f t="shared" si="177"/>
        <v>1484.0989399293287</v>
      </c>
      <c r="CT210" s="93">
        <f t="shared" si="178"/>
        <v>2253.7764350453172</v>
      </c>
      <c r="CU210" s="93">
        <f t="shared" si="179"/>
        <v>2823.5294117647059</v>
      </c>
      <c r="CV210" s="93">
        <f t="shared" si="180"/>
        <v>3811.7647058823527</v>
      </c>
      <c r="CW210" s="93">
        <f t="shared" si="181"/>
        <v>5196.8503937007872</v>
      </c>
    </row>
    <row r="211" spans="1:101" s="98" customFormat="1">
      <c r="A211" s="3" t="s">
        <v>433</v>
      </c>
      <c r="B211" s="3" t="s">
        <v>268</v>
      </c>
      <c r="C211" s="3"/>
      <c r="D211" s="93">
        <v>5.5160999999999998</v>
      </c>
      <c r="E211" s="94">
        <v>0.18490000000000001</v>
      </c>
      <c r="F211" s="94">
        <v>2.7000000000000001E-3</v>
      </c>
      <c r="G211" s="95">
        <v>12.96</v>
      </c>
      <c r="H211" s="96">
        <v>0.36</v>
      </c>
      <c r="I211" s="97">
        <v>0.50970000000000004</v>
      </c>
      <c r="J211" s="95">
        <v>1.2E-2</v>
      </c>
      <c r="K211" s="96">
        <v>0.25774999999999998</v>
      </c>
      <c r="M211" s="99">
        <v>2655</v>
      </c>
      <c r="N211" s="98">
        <v>49</v>
      </c>
      <c r="O211" s="99">
        <v>2697</v>
      </c>
      <c r="P211" s="98">
        <v>17</v>
      </c>
      <c r="Q211" s="93">
        <v>1.5</v>
      </c>
      <c r="R211" s="97">
        <v>6.3E-3</v>
      </c>
      <c r="T211" s="98">
        <v>170</v>
      </c>
      <c r="U211" s="98">
        <v>140</v>
      </c>
      <c r="V211" s="98">
        <v>1.4</v>
      </c>
      <c r="W211" s="98">
        <v>1.6</v>
      </c>
      <c r="X211" s="98">
        <v>0.31</v>
      </c>
      <c r="Y211" s="98">
        <v>0.28999999999999998</v>
      </c>
      <c r="Z211" s="98">
        <v>5.8</v>
      </c>
      <c r="AA211" s="98">
        <v>1.3</v>
      </c>
      <c r="AB211" s="98">
        <v>1.57</v>
      </c>
      <c r="AC211" s="98">
        <v>0.55000000000000004</v>
      </c>
      <c r="AD211" s="98">
        <v>1290</v>
      </c>
      <c r="AE211" s="98">
        <v>150</v>
      </c>
      <c r="AF211" s="95">
        <v>8.8000000000000005E-3</v>
      </c>
      <c r="AG211" s="97">
        <v>9.7999999999999997E-3</v>
      </c>
      <c r="AH211" s="96">
        <v>5.26</v>
      </c>
      <c r="AI211" s="96">
        <v>0.85</v>
      </c>
      <c r="AJ211" s="95">
        <v>3.5000000000000003E-2</v>
      </c>
      <c r="AK211" s="95">
        <v>2.8000000000000001E-2</v>
      </c>
      <c r="AL211" s="96">
        <v>0.34</v>
      </c>
      <c r="AM211" s="96">
        <v>0.42</v>
      </c>
      <c r="AN211" s="96">
        <v>1.88</v>
      </c>
      <c r="AO211" s="96">
        <v>0.79</v>
      </c>
      <c r="AP211" s="96">
        <v>0.3</v>
      </c>
      <c r="AQ211" s="96">
        <v>0.16</v>
      </c>
      <c r="AR211" s="96">
        <v>24.8</v>
      </c>
      <c r="AS211" s="93">
        <v>4.0999999999999996</v>
      </c>
      <c r="AT211" s="96">
        <v>7.6</v>
      </c>
      <c r="AU211" s="96">
        <v>1.1000000000000001</v>
      </c>
      <c r="AV211" s="99">
        <v>103.6</v>
      </c>
      <c r="AW211" s="98">
        <v>8.6999999999999993</v>
      </c>
      <c r="AX211" s="98">
        <v>45.5</v>
      </c>
      <c r="AY211" s="98">
        <v>4.9000000000000004</v>
      </c>
      <c r="AZ211" s="98">
        <v>208</v>
      </c>
      <c r="BA211" s="98">
        <v>23</v>
      </c>
      <c r="BB211" s="98">
        <v>47.9</v>
      </c>
      <c r="BC211" s="98">
        <v>6.7</v>
      </c>
      <c r="BD211" s="98">
        <v>412</v>
      </c>
      <c r="BE211" s="98">
        <v>42</v>
      </c>
      <c r="BF211" s="98">
        <v>82</v>
      </c>
      <c r="BG211" s="98">
        <v>10</v>
      </c>
      <c r="BI211" s="93">
        <v>6.4</v>
      </c>
      <c r="BJ211" s="98">
        <v>3.4</v>
      </c>
      <c r="BK211" s="98">
        <v>514000</v>
      </c>
      <c r="BL211" s="98">
        <v>71000</v>
      </c>
      <c r="BM211" s="98">
        <v>10100</v>
      </c>
      <c r="BN211" s="98">
        <v>1100</v>
      </c>
      <c r="BO211" s="99">
        <v>18.5</v>
      </c>
      <c r="BP211" s="98">
        <v>1.8</v>
      </c>
      <c r="BQ211" s="99">
        <v>43.3</v>
      </c>
      <c r="BR211" s="98">
        <v>3.9</v>
      </c>
      <c r="BT211" s="95">
        <f t="shared" si="159"/>
        <v>0.10509708737864076</v>
      </c>
      <c r="BU211" s="96">
        <f t="shared" si="160"/>
        <v>15.470588235294116</v>
      </c>
      <c r="BV211" s="96">
        <f t="shared" si="161"/>
        <v>50.89108910891089</v>
      </c>
      <c r="BW211" s="96">
        <f t="shared" si="162"/>
        <v>0.42725173210161665</v>
      </c>
      <c r="BX211" s="99">
        <f>CK211/SQRT(CJ211*CL211)</f>
        <v>73.484363941712147</v>
      </c>
      <c r="BY211" s="96">
        <f t="shared" si="163"/>
        <v>15.470588235294116</v>
      </c>
      <c r="BZ211" s="97">
        <f t="shared" si="164"/>
        <v>1.1992704058367531E-2</v>
      </c>
      <c r="CA211" s="95">
        <f t="shared" si="165"/>
        <v>0.13431982726438441</v>
      </c>
      <c r="CB211" s="99">
        <f t="shared" si="157"/>
        <v>70.862078864602864</v>
      </c>
      <c r="CC211" s="99">
        <f t="shared" si="157"/>
        <v>6.3824967106686188</v>
      </c>
      <c r="CD211" s="100">
        <f t="shared" si="166"/>
        <v>731.05903980121229</v>
      </c>
      <c r="CE211" s="100">
        <f t="shared" si="182"/>
        <v>769.46922641004141</v>
      </c>
      <c r="CF211" s="100">
        <f t="shared" si="186"/>
        <v>54.196851332475362</v>
      </c>
      <c r="CG211" s="96">
        <f>2.28+3.99*LOG(AH211/((CB211*BI211)^(1/2)))</f>
        <v>-0.14317163744342665</v>
      </c>
      <c r="CH211" s="96">
        <f t="shared" si="168"/>
        <v>0.62292838764258263</v>
      </c>
      <c r="CJ211" s="95">
        <f>AF211/CJ$4</f>
        <v>3.7130801687763719E-2</v>
      </c>
      <c r="CK211" s="93">
        <f t="shared" si="169"/>
        <v>8.594771241830065</v>
      </c>
      <c r="CL211" s="93">
        <f t="shared" si="170"/>
        <v>0.36842105263157898</v>
      </c>
      <c r="CM211" s="93">
        <f t="shared" si="171"/>
        <v>0.72805139186295509</v>
      </c>
      <c r="CN211" s="93">
        <f t="shared" si="172"/>
        <v>12.287581699346404</v>
      </c>
      <c r="CO211" s="93">
        <f t="shared" si="173"/>
        <v>5.1724137931034475</v>
      </c>
      <c r="CP211" s="93">
        <f t="shared" si="174"/>
        <v>120.68126520681267</v>
      </c>
      <c r="CQ211" s="93">
        <f t="shared" si="175"/>
        <v>203.2085561497326</v>
      </c>
      <c r="CR211" s="93">
        <f t="shared" si="176"/>
        <v>407.87401574803147</v>
      </c>
      <c r="CS211" s="93">
        <f t="shared" si="177"/>
        <v>803.886925795053</v>
      </c>
      <c r="CT211" s="93">
        <f t="shared" si="178"/>
        <v>1256.797583081571</v>
      </c>
      <c r="CU211" s="93">
        <f t="shared" si="179"/>
        <v>1878.4313725490197</v>
      </c>
      <c r="CV211" s="93">
        <f t="shared" si="180"/>
        <v>2423.5294117647059</v>
      </c>
      <c r="CW211" s="93">
        <f t="shared" si="181"/>
        <v>3228.3464566929133</v>
      </c>
    </row>
    <row r="212" spans="1:101" s="98" customFormat="1">
      <c r="A212" s="3" t="s">
        <v>434</v>
      </c>
      <c r="B212" s="3" t="s">
        <v>268</v>
      </c>
      <c r="C212" s="3"/>
      <c r="D212" s="93">
        <v>5.4889000000000001</v>
      </c>
      <c r="E212" s="94">
        <v>0.18590000000000001</v>
      </c>
      <c r="F212" s="94">
        <v>1.4E-3</v>
      </c>
      <c r="G212" s="95">
        <v>13.27</v>
      </c>
      <c r="H212" s="96">
        <v>0.34</v>
      </c>
      <c r="I212" s="97">
        <v>0.51880000000000004</v>
      </c>
      <c r="J212" s="95">
        <v>1.0999999999999999E-2</v>
      </c>
      <c r="K212" s="96">
        <v>0.68784000000000001</v>
      </c>
      <c r="M212" s="99">
        <v>2694</v>
      </c>
      <c r="N212" s="98">
        <v>49</v>
      </c>
      <c r="O212" s="99">
        <v>2706.4</v>
      </c>
      <c r="P212" s="98">
        <v>8.6</v>
      </c>
      <c r="Q212" s="93">
        <v>0.46</v>
      </c>
      <c r="R212" s="97">
        <v>2.3E-3</v>
      </c>
      <c r="T212" s="98">
        <v>220</v>
      </c>
      <c r="U212" s="98">
        <v>140</v>
      </c>
      <c r="V212" s="98">
        <v>1.1000000000000001</v>
      </c>
      <c r="W212" s="98">
        <v>1.2</v>
      </c>
      <c r="X212" s="98">
        <v>0.47</v>
      </c>
      <c r="Y212" s="98">
        <v>0.41</v>
      </c>
      <c r="Z212" s="98">
        <v>5.5</v>
      </c>
      <c r="AA212" s="98">
        <v>1.1000000000000001</v>
      </c>
      <c r="AB212" s="98">
        <v>2.08</v>
      </c>
      <c r="AC212" s="98">
        <v>0.93</v>
      </c>
      <c r="AD212" s="98">
        <v>1480</v>
      </c>
      <c r="AE212" s="98">
        <v>140</v>
      </c>
      <c r="AF212" s="95">
        <v>5.7999999999999996E-3</v>
      </c>
      <c r="AG212" s="97">
        <v>8.6E-3</v>
      </c>
      <c r="AH212" s="96">
        <v>5.8</v>
      </c>
      <c r="AI212" s="96">
        <v>1.4</v>
      </c>
      <c r="AJ212" s="95">
        <v>2.5999999999999999E-2</v>
      </c>
      <c r="AK212" s="95">
        <v>2.5000000000000001E-2</v>
      </c>
      <c r="AL212" s="96">
        <v>0.61</v>
      </c>
      <c r="AM212" s="96">
        <v>0.44</v>
      </c>
      <c r="AN212" s="96">
        <v>3</v>
      </c>
      <c r="AO212" s="96">
        <v>1.2</v>
      </c>
      <c r="AP212" s="96">
        <v>0.45</v>
      </c>
      <c r="AQ212" s="96">
        <v>0.23</v>
      </c>
      <c r="AR212" s="96">
        <v>21.9</v>
      </c>
      <c r="AS212" s="93">
        <v>4.5</v>
      </c>
      <c r="AT212" s="96">
        <v>9</v>
      </c>
      <c r="AU212" s="96">
        <v>1.5</v>
      </c>
      <c r="AV212" s="99">
        <v>115</v>
      </c>
      <c r="AW212" s="98">
        <v>16</v>
      </c>
      <c r="AX212" s="98">
        <v>51</v>
      </c>
      <c r="AY212" s="98">
        <v>5.9</v>
      </c>
      <c r="AZ212" s="98">
        <v>246</v>
      </c>
      <c r="BA212" s="98">
        <v>31</v>
      </c>
      <c r="BB212" s="98">
        <v>50.4</v>
      </c>
      <c r="BC212" s="98">
        <v>5.7</v>
      </c>
      <c r="BD212" s="98">
        <v>470</v>
      </c>
      <c r="BE212" s="98">
        <v>66</v>
      </c>
      <c r="BF212" s="98">
        <v>89</v>
      </c>
      <c r="BG212" s="98">
        <v>11</v>
      </c>
      <c r="BI212" s="93">
        <v>6.4</v>
      </c>
      <c r="BJ212" s="98">
        <v>2</v>
      </c>
      <c r="BK212" s="98">
        <v>515000</v>
      </c>
      <c r="BL212" s="98">
        <v>61000</v>
      </c>
      <c r="BM212" s="98">
        <v>10100</v>
      </c>
      <c r="BN212" s="98">
        <v>1300</v>
      </c>
      <c r="BO212" s="99">
        <v>25.2</v>
      </c>
      <c r="BP212" s="98">
        <v>2.1</v>
      </c>
      <c r="BQ212" s="99">
        <v>52.3</v>
      </c>
      <c r="BR212" s="98">
        <v>4.5999999999999996</v>
      </c>
      <c r="BT212" s="95">
        <f t="shared" si="159"/>
        <v>0.11127659574468085</v>
      </c>
      <c r="BU212" s="96">
        <f t="shared" si="160"/>
        <v>9.5081967213114762</v>
      </c>
      <c r="BV212" s="96">
        <f t="shared" si="161"/>
        <v>50.990099009900987</v>
      </c>
      <c r="BW212" s="96">
        <f t="shared" si="162"/>
        <v>0.48183556405353728</v>
      </c>
      <c r="BX212" s="99">
        <f>CK212/SQRT(CJ212*CL212)</f>
        <v>115.80088442173148</v>
      </c>
      <c r="BY212" s="96">
        <f t="shared" si="163"/>
        <v>9.5081967213114762</v>
      </c>
      <c r="BZ212" s="97">
        <f t="shared" si="164"/>
        <v>6.4244572441293762E-3</v>
      </c>
      <c r="CA212" s="95">
        <f t="shared" si="165"/>
        <v>0.16972798836578046</v>
      </c>
      <c r="CB212" s="99">
        <f t="shared" si="157"/>
        <v>85.590917427684303</v>
      </c>
      <c r="CC212" s="99">
        <f t="shared" si="157"/>
        <v>7.5280730433527294</v>
      </c>
      <c r="CD212" s="100">
        <f t="shared" si="166"/>
        <v>731.05903980121229</v>
      </c>
      <c r="CE212" s="100">
        <f t="shared" si="182"/>
        <v>769.46922641004141</v>
      </c>
      <c r="CF212" s="100">
        <f t="shared" si="186"/>
        <v>33.171842770806713</v>
      </c>
      <c r="CG212" s="96">
        <f>2.28+3.99*LOG(AH212/((CB212*BI212)^(1/2)))</f>
        <v>-0.13744457836597368</v>
      </c>
      <c r="CH212" s="96">
        <f t="shared" si="168"/>
        <v>0.57521964221932409</v>
      </c>
      <c r="CJ212" s="95">
        <f>AF212/CJ$4</f>
        <v>2.4472573839662448E-2</v>
      </c>
      <c r="CK212" s="93">
        <f t="shared" si="169"/>
        <v>9.477124183006536</v>
      </c>
      <c r="CL212" s="93">
        <f t="shared" si="170"/>
        <v>0.27368421052631575</v>
      </c>
      <c r="CM212" s="93">
        <f t="shared" si="171"/>
        <v>1.3062098501070663</v>
      </c>
      <c r="CN212" s="93">
        <f t="shared" si="172"/>
        <v>19.607843137254903</v>
      </c>
      <c r="CO212" s="93">
        <f t="shared" si="173"/>
        <v>7.7586206896551726</v>
      </c>
      <c r="CP212" s="93">
        <f t="shared" si="174"/>
        <v>106.56934306569343</v>
      </c>
      <c r="CQ212" s="93">
        <f t="shared" si="175"/>
        <v>240.64171122994651</v>
      </c>
      <c r="CR212" s="93">
        <f t="shared" si="176"/>
        <v>452.75590551181102</v>
      </c>
      <c r="CS212" s="93">
        <f t="shared" si="177"/>
        <v>901.06007067137818</v>
      </c>
      <c r="CT212" s="93">
        <f t="shared" si="178"/>
        <v>1486.404833836858</v>
      </c>
      <c r="CU212" s="93">
        <f t="shared" si="179"/>
        <v>1976.4705882352941</v>
      </c>
      <c r="CV212" s="93">
        <f t="shared" si="180"/>
        <v>2764.705882352941</v>
      </c>
      <c r="CW212" s="93">
        <f t="shared" si="181"/>
        <v>3503.9370078740158</v>
      </c>
    </row>
    <row r="213" spans="1:101" s="118" customFormat="1">
      <c r="A213" s="111" t="s">
        <v>435</v>
      </c>
      <c r="B213" s="111" t="s">
        <v>268</v>
      </c>
      <c r="C213" s="111"/>
      <c r="D213" s="113">
        <v>4.3472</v>
      </c>
      <c r="E213" s="114">
        <v>0.18759999999999999</v>
      </c>
      <c r="F213" s="114">
        <v>5.8999999999999999E-3</v>
      </c>
      <c r="G213" s="115">
        <v>13.5</v>
      </c>
      <c r="H213" s="116">
        <v>0.54</v>
      </c>
      <c r="I213" s="117">
        <v>0.52339999999999998</v>
      </c>
      <c r="J213" s="115">
        <v>1.2999999999999999E-2</v>
      </c>
      <c r="K213" s="116">
        <v>0.36782999999999999</v>
      </c>
      <c r="M213" s="119">
        <v>2713</v>
      </c>
      <c r="N213" s="118">
        <v>54</v>
      </c>
      <c r="O213" s="119">
        <v>2721</v>
      </c>
      <c r="P213" s="118">
        <v>34</v>
      </c>
      <c r="Q213" s="113">
        <v>0.2</v>
      </c>
      <c r="R213" s="117">
        <v>5.1000000000000004E-3</v>
      </c>
      <c r="T213" s="121">
        <v>13200</v>
      </c>
      <c r="U213" s="121">
        <v>1400</v>
      </c>
      <c r="V213" s="118" t="s">
        <v>250</v>
      </c>
      <c r="W213" s="118" t="s">
        <v>250</v>
      </c>
      <c r="X213" s="118">
        <v>14.4</v>
      </c>
      <c r="Y213" s="118">
        <v>2.8</v>
      </c>
      <c r="Z213" s="118">
        <v>3</v>
      </c>
      <c r="AA213" s="118">
        <v>1.2</v>
      </c>
      <c r="AB213" s="118">
        <v>0.94</v>
      </c>
      <c r="AC213" s="118">
        <v>0.31</v>
      </c>
      <c r="AD213" s="118">
        <v>724</v>
      </c>
      <c r="AE213" s="118">
        <v>91</v>
      </c>
      <c r="AF213" s="115">
        <v>71.099999999999994</v>
      </c>
      <c r="AG213" s="117">
        <v>7.8</v>
      </c>
      <c r="AH213" s="116">
        <v>193</v>
      </c>
      <c r="AI213" s="116">
        <v>27</v>
      </c>
      <c r="AJ213" s="115">
        <v>33.799999999999997</v>
      </c>
      <c r="AK213" s="115">
        <v>3.2</v>
      </c>
      <c r="AL213" s="116">
        <v>175</v>
      </c>
      <c r="AM213" s="116">
        <v>26</v>
      </c>
      <c r="AN213" s="116">
        <v>50.6</v>
      </c>
      <c r="AO213" s="116">
        <v>4.9000000000000004</v>
      </c>
      <c r="AP213" s="116">
        <v>3.17</v>
      </c>
      <c r="AQ213" s="116">
        <v>0.4</v>
      </c>
      <c r="AR213" s="116">
        <v>55.9</v>
      </c>
      <c r="AS213" s="113">
        <v>8.4</v>
      </c>
      <c r="AT213" s="116">
        <v>9.6999999999999993</v>
      </c>
      <c r="AU213" s="116">
        <v>1.4</v>
      </c>
      <c r="AV213" s="119">
        <v>81</v>
      </c>
      <c r="AW213" s="118">
        <v>14</v>
      </c>
      <c r="AX213" s="118">
        <v>28</v>
      </c>
      <c r="AY213" s="118">
        <v>3.7</v>
      </c>
      <c r="AZ213" s="118">
        <v>115</v>
      </c>
      <c r="BA213" s="118">
        <v>16</v>
      </c>
      <c r="BB213" s="118">
        <v>21.9</v>
      </c>
      <c r="BC213" s="118">
        <v>3.1</v>
      </c>
      <c r="BD213" s="118">
        <v>184</v>
      </c>
      <c r="BE213" s="118">
        <v>20</v>
      </c>
      <c r="BF213" s="118">
        <v>39.1</v>
      </c>
      <c r="BG213" s="118">
        <v>4.9000000000000004</v>
      </c>
      <c r="BI213" s="113">
        <v>4.2</v>
      </c>
      <c r="BJ213" s="118">
        <v>3.8</v>
      </c>
      <c r="BK213" s="118">
        <v>508000</v>
      </c>
      <c r="BL213" s="118">
        <v>46000</v>
      </c>
      <c r="BM213" s="118">
        <v>10030</v>
      </c>
      <c r="BN213" s="118">
        <v>910</v>
      </c>
      <c r="BO213" s="119">
        <v>5.92</v>
      </c>
      <c r="BP213" s="118">
        <v>0.52</v>
      </c>
      <c r="BQ213" s="119">
        <v>18.600000000000001</v>
      </c>
      <c r="BR213" s="118">
        <v>1.7</v>
      </c>
      <c r="BT213" s="115"/>
      <c r="BU213" s="116"/>
      <c r="BV213" s="116"/>
      <c r="BW213" s="116"/>
      <c r="BX213" s="119"/>
      <c r="BY213" s="116"/>
      <c r="BZ213" s="117"/>
      <c r="CA213" s="115"/>
      <c r="CB213" s="99"/>
      <c r="CC213" s="99"/>
      <c r="CD213" s="120"/>
      <c r="CE213" s="100"/>
      <c r="CF213" s="100"/>
      <c r="CG213" s="116"/>
      <c r="CH213" s="96"/>
      <c r="CJ213" s="115">
        <f>AF213/CJ$4</f>
        <v>300</v>
      </c>
      <c r="CK213" s="113">
        <f t="shared" si="169"/>
        <v>315.359477124183</v>
      </c>
      <c r="CL213" s="113">
        <f t="shared" si="170"/>
        <v>355.78947368421052</v>
      </c>
      <c r="CM213" s="113">
        <f t="shared" si="171"/>
        <v>374.73233404710919</v>
      </c>
      <c r="CN213" s="113">
        <f t="shared" si="172"/>
        <v>330.718954248366</v>
      </c>
      <c r="CO213" s="113">
        <f t="shared" si="173"/>
        <v>54.655172413793096</v>
      </c>
      <c r="CP213" s="113">
        <f t="shared" si="174"/>
        <v>272.01946472019466</v>
      </c>
      <c r="CQ213" s="113">
        <f t="shared" si="175"/>
        <v>259.35828877005343</v>
      </c>
      <c r="CR213" s="113">
        <f t="shared" si="176"/>
        <v>318.89763779527561</v>
      </c>
      <c r="CS213" s="113">
        <f t="shared" si="177"/>
        <v>494.69964664310959</v>
      </c>
      <c r="CT213" s="113">
        <f t="shared" si="178"/>
        <v>694.86404833836855</v>
      </c>
      <c r="CU213" s="113">
        <f t="shared" si="179"/>
        <v>858.82352941176475</v>
      </c>
      <c r="CV213" s="113">
        <f t="shared" si="180"/>
        <v>1082.3529411764705</v>
      </c>
      <c r="CW213" s="113">
        <f t="shared" si="181"/>
        <v>1539.3700787401576</v>
      </c>
    </row>
    <row r="214" spans="1:101" s="98" customFormat="1">
      <c r="A214" s="3" t="s">
        <v>436</v>
      </c>
      <c r="B214" s="3" t="s">
        <v>268</v>
      </c>
      <c r="C214" s="3"/>
      <c r="D214" s="93">
        <v>6.1657000000000002</v>
      </c>
      <c r="E214" s="94">
        <v>0.18579999999999999</v>
      </c>
      <c r="F214" s="94">
        <v>1.9E-3</v>
      </c>
      <c r="G214" s="95">
        <v>13.46</v>
      </c>
      <c r="H214" s="96">
        <v>0.37</v>
      </c>
      <c r="I214" s="97">
        <v>0.52639999999999998</v>
      </c>
      <c r="J214" s="95">
        <v>1.2E-2</v>
      </c>
      <c r="K214" s="96">
        <v>0.65534000000000003</v>
      </c>
      <c r="M214" s="99">
        <v>2726</v>
      </c>
      <c r="N214" s="98">
        <v>49</v>
      </c>
      <c r="O214" s="99">
        <v>2705</v>
      </c>
      <c r="P214" s="98">
        <v>12</v>
      </c>
      <c r="Q214" s="93">
        <v>-0.79</v>
      </c>
      <c r="R214" s="97">
        <v>8.0000000000000004E-4</v>
      </c>
      <c r="T214" s="98">
        <v>530</v>
      </c>
      <c r="U214" s="98">
        <v>120</v>
      </c>
      <c r="V214" s="98">
        <v>0.4</v>
      </c>
      <c r="W214" s="98">
        <v>1.2</v>
      </c>
      <c r="X214" s="98">
        <v>0.28000000000000003</v>
      </c>
      <c r="Y214" s="98">
        <v>0.2</v>
      </c>
      <c r="Z214" s="98">
        <v>8.1</v>
      </c>
      <c r="AA214" s="98">
        <v>1.2</v>
      </c>
      <c r="AB214" s="98">
        <v>2.17</v>
      </c>
      <c r="AC214" s="98">
        <v>0.88</v>
      </c>
      <c r="AD214" s="98">
        <v>1890</v>
      </c>
      <c r="AE214" s="98">
        <v>130</v>
      </c>
      <c r="AF214" s="95" t="s">
        <v>250</v>
      </c>
      <c r="AG214" s="97" t="s">
        <v>250</v>
      </c>
      <c r="AH214" s="96">
        <v>7.5</v>
      </c>
      <c r="AI214" s="96">
        <v>1.3</v>
      </c>
      <c r="AJ214" s="95">
        <v>3.9E-2</v>
      </c>
      <c r="AK214" s="95">
        <v>3.2000000000000001E-2</v>
      </c>
      <c r="AL214" s="96">
        <v>1.02</v>
      </c>
      <c r="AM214" s="96">
        <v>0.44</v>
      </c>
      <c r="AN214" s="96">
        <v>3.08</v>
      </c>
      <c r="AO214" s="96">
        <v>0.79</v>
      </c>
      <c r="AP214" s="96">
        <v>0.61</v>
      </c>
      <c r="AQ214" s="96">
        <v>0.19</v>
      </c>
      <c r="AR214" s="96">
        <v>26.7</v>
      </c>
      <c r="AS214" s="93">
        <v>6.5</v>
      </c>
      <c r="AT214" s="96">
        <v>11.7</v>
      </c>
      <c r="AU214" s="96">
        <v>1.6</v>
      </c>
      <c r="AV214" s="99">
        <v>148</v>
      </c>
      <c r="AW214" s="98">
        <v>10</v>
      </c>
      <c r="AX214" s="98">
        <v>65.3</v>
      </c>
      <c r="AY214" s="98">
        <v>3.4</v>
      </c>
      <c r="AZ214" s="98">
        <v>319</v>
      </c>
      <c r="BA214" s="98">
        <v>17</v>
      </c>
      <c r="BB214" s="98">
        <v>64.599999999999994</v>
      </c>
      <c r="BC214" s="98">
        <v>4.7</v>
      </c>
      <c r="BD214" s="98">
        <v>586</v>
      </c>
      <c r="BE214" s="98">
        <v>58</v>
      </c>
      <c r="BF214" s="98">
        <v>126</v>
      </c>
      <c r="BG214" s="98">
        <v>13</v>
      </c>
      <c r="BI214" s="93">
        <v>4.2</v>
      </c>
      <c r="BJ214" s="98">
        <v>3.5</v>
      </c>
      <c r="BK214" s="98">
        <v>553000</v>
      </c>
      <c r="BL214" s="98">
        <v>33000</v>
      </c>
      <c r="BM214" s="98">
        <v>10890</v>
      </c>
      <c r="BN214" s="98">
        <v>800</v>
      </c>
      <c r="BO214" s="99">
        <v>34.700000000000003</v>
      </c>
      <c r="BP214" s="98">
        <v>2</v>
      </c>
      <c r="BQ214" s="99">
        <v>71.2</v>
      </c>
      <c r="BR214" s="98">
        <v>4.3</v>
      </c>
      <c r="BT214" s="95">
        <f t="shared" si="159"/>
        <v>0.12150170648464165</v>
      </c>
      <c r="BU214" s="96">
        <f t="shared" si="160"/>
        <v>7.3529411764705879</v>
      </c>
      <c r="BV214" s="96">
        <f t="shared" si="161"/>
        <v>50.780532598714416</v>
      </c>
      <c r="BW214" s="96">
        <f t="shared" si="162"/>
        <v>0.48735955056179775</v>
      </c>
      <c r="BX214" s="99"/>
      <c r="BY214" s="96">
        <f t="shared" si="163"/>
        <v>7.3529411764705879</v>
      </c>
      <c r="BZ214" s="97">
        <f t="shared" si="164"/>
        <v>3.8904450669156551E-3</v>
      </c>
      <c r="CA214" s="95">
        <f t="shared" si="165"/>
        <v>0.20564704861731678</v>
      </c>
      <c r="CB214" s="99">
        <f t="shared" si="157"/>
        <v>116.52147841015531</v>
      </c>
      <c r="CC214" s="99">
        <f t="shared" si="157"/>
        <v>7.0371117579166826</v>
      </c>
      <c r="CD214" s="100">
        <f t="shared" si="166"/>
        <v>694.04360437595142</v>
      </c>
      <c r="CE214" s="100">
        <f t="shared" si="182"/>
        <v>729.62419278363473</v>
      </c>
      <c r="CF214" s="100">
        <f t="shared" si="186"/>
        <v>78.011232279729242</v>
      </c>
      <c r="CG214" s="96">
        <f t="shared" ref="CG214:CG222" si="187">2.28+3.99*LOG(AH214/((CB214*BI214)^(1/2)))</f>
        <v>0.40563216398951685</v>
      </c>
      <c r="CH214" s="96">
        <f t="shared" si="168"/>
        <v>0.90165686777047316</v>
      </c>
      <c r="CJ214" s="95"/>
      <c r="CK214" s="93">
        <f t="shared" si="169"/>
        <v>12.254901960784315</v>
      </c>
      <c r="CL214" s="93">
        <f t="shared" si="170"/>
        <v>0.41052631578947368</v>
      </c>
      <c r="CM214" s="93">
        <f t="shared" si="171"/>
        <v>2.1841541755888652</v>
      </c>
      <c r="CN214" s="93">
        <f t="shared" si="172"/>
        <v>20.130718954248366</v>
      </c>
      <c r="CO214" s="93">
        <f t="shared" si="173"/>
        <v>10.517241379310343</v>
      </c>
      <c r="CP214" s="93">
        <f t="shared" si="174"/>
        <v>129.92700729927009</v>
      </c>
      <c r="CQ214" s="93">
        <f t="shared" si="175"/>
        <v>312.83422459893046</v>
      </c>
      <c r="CR214" s="93">
        <f t="shared" si="176"/>
        <v>582.67716535433067</v>
      </c>
      <c r="CS214" s="93">
        <f t="shared" si="177"/>
        <v>1153.7102473498232</v>
      </c>
      <c r="CT214" s="93">
        <f t="shared" si="178"/>
        <v>1927.4924471299094</v>
      </c>
      <c r="CU214" s="93">
        <f t="shared" si="179"/>
        <v>2533.3333333333335</v>
      </c>
      <c r="CV214" s="93">
        <f t="shared" si="180"/>
        <v>3447.0588235294117</v>
      </c>
      <c r="CW214" s="93">
        <f t="shared" si="181"/>
        <v>4960.6299212598424</v>
      </c>
    </row>
    <row r="215" spans="1:101" s="98" customFormat="1">
      <c r="A215" s="3" t="s">
        <v>437</v>
      </c>
      <c r="B215" s="3" t="s">
        <v>268</v>
      </c>
      <c r="C215" s="3"/>
      <c r="D215" s="93">
        <v>6.2729999999999997</v>
      </c>
      <c r="E215" s="94">
        <v>0.186</v>
      </c>
      <c r="F215" s="94">
        <v>2.5999999999999999E-3</v>
      </c>
      <c r="G215" s="95">
        <v>13.39</v>
      </c>
      <c r="H215" s="96">
        <v>0.38</v>
      </c>
      <c r="I215" s="97">
        <v>0.52329999999999999</v>
      </c>
      <c r="J215" s="95">
        <v>1.2E-2</v>
      </c>
      <c r="K215" s="96">
        <v>0.46533999999999998</v>
      </c>
      <c r="M215" s="99">
        <v>2713</v>
      </c>
      <c r="N215" s="98">
        <v>52</v>
      </c>
      <c r="O215" s="99">
        <v>2706</v>
      </c>
      <c r="P215" s="98">
        <v>20</v>
      </c>
      <c r="Q215" s="93">
        <v>-0.3</v>
      </c>
      <c r="R215" s="97">
        <v>3.7000000000000002E-3</v>
      </c>
      <c r="T215" s="98">
        <v>336</v>
      </c>
      <c r="U215" s="98">
        <v>92</v>
      </c>
      <c r="V215" s="98">
        <v>0.1</v>
      </c>
      <c r="W215" s="98">
        <v>1.1000000000000001</v>
      </c>
      <c r="X215" s="98">
        <v>0.26</v>
      </c>
      <c r="Y215" s="98">
        <v>0.24</v>
      </c>
      <c r="Z215" s="98">
        <v>3.33</v>
      </c>
      <c r="AA215" s="98">
        <v>0.74</v>
      </c>
      <c r="AB215" s="98">
        <v>1.68</v>
      </c>
      <c r="AC215" s="98">
        <v>0.54</v>
      </c>
      <c r="AD215" s="98">
        <v>2150</v>
      </c>
      <c r="AE215" s="98">
        <v>210</v>
      </c>
      <c r="AF215" s="95">
        <v>2.5999999999999999E-2</v>
      </c>
      <c r="AG215" s="97">
        <v>1.6E-2</v>
      </c>
      <c r="AH215" s="96">
        <v>6.4</v>
      </c>
      <c r="AI215" s="96">
        <v>1.1000000000000001</v>
      </c>
      <c r="AJ215" s="95">
        <v>7.0000000000000007E-2</v>
      </c>
      <c r="AK215" s="95">
        <v>0.04</v>
      </c>
      <c r="AL215" s="96">
        <v>2.13</v>
      </c>
      <c r="AM215" s="96">
        <v>0.81</v>
      </c>
      <c r="AN215" s="96">
        <v>6.2</v>
      </c>
      <c r="AO215" s="96">
        <v>1.6</v>
      </c>
      <c r="AP215" s="96">
        <v>0.72</v>
      </c>
      <c r="AQ215" s="96">
        <v>0.28000000000000003</v>
      </c>
      <c r="AR215" s="96">
        <v>47</v>
      </c>
      <c r="AS215" s="93">
        <v>8.6</v>
      </c>
      <c r="AT215" s="96">
        <v>15.1</v>
      </c>
      <c r="AU215" s="96">
        <v>2</v>
      </c>
      <c r="AV215" s="99">
        <v>184</v>
      </c>
      <c r="AW215" s="98">
        <v>30</v>
      </c>
      <c r="AX215" s="98">
        <v>82</v>
      </c>
      <c r="AY215" s="98">
        <v>10</v>
      </c>
      <c r="AZ215" s="98">
        <v>360</v>
      </c>
      <c r="BA215" s="98">
        <v>44</v>
      </c>
      <c r="BB215" s="98">
        <v>77.099999999999994</v>
      </c>
      <c r="BC215" s="98">
        <v>9.1999999999999993</v>
      </c>
      <c r="BD215" s="98">
        <v>664</v>
      </c>
      <c r="BE215" s="98">
        <v>80</v>
      </c>
      <c r="BF215" s="98">
        <v>129</v>
      </c>
      <c r="BG215" s="98">
        <v>16</v>
      </c>
      <c r="BI215" s="93">
        <v>3.5</v>
      </c>
      <c r="BJ215" s="98">
        <v>1.7</v>
      </c>
      <c r="BK215" s="98">
        <v>527000</v>
      </c>
      <c r="BL215" s="98">
        <v>52000</v>
      </c>
      <c r="BM215" s="98">
        <v>10420</v>
      </c>
      <c r="BN215" s="98">
        <v>850</v>
      </c>
      <c r="BO215" s="99">
        <v>35.799999999999997</v>
      </c>
      <c r="BP215" s="98">
        <v>6</v>
      </c>
      <c r="BQ215" s="99">
        <v>63.3</v>
      </c>
      <c r="BR215" s="98">
        <v>9.5</v>
      </c>
      <c r="BT215" s="95">
        <f t="shared" si="159"/>
        <v>9.533132530120482E-2</v>
      </c>
      <c r="BU215" s="96">
        <f t="shared" si="160"/>
        <v>3.0046948356807515</v>
      </c>
      <c r="BV215" s="96">
        <f t="shared" si="161"/>
        <v>50.575815738963534</v>
      </c>
      <c r="BW215" s="96">
        <f t="shared" si="162"/>
        <v>0.56556082148499209</v>
      </c>
      <c r="BX215" s="99">
        <f>CK215/SQRT(CJ215*CL215)</f>
        <v>36.781448939553471</v>
      </c>
      <c r="BY215" s="96">
        <f t="shared" si="163"/>
        <v>3.0046948356807515</v>
      </c>
      <c r="BZ215" s="97">
        <f t="shared" si="164"/>
        <v>1.3975324817119773E-3</v>
      </c>
      <c r="CA215" s="95">
        <f t="shared" si="165"/>
        <v>0.12894703417380901</v>
      </c>
      <c r="CB215" s="99">
        <f t="shared" si="157"/>
        <v>103.59283122700604</v>
      </c>
      <c r="CC215" s="99">
        <f t="shared" si="157"/>
        <v>15.547107372141507</v>
      </c>
      <c r="CD215" s="100">
        <f t="shared" si="166"/>
        <v>678.8544536895605</v>
      </c>
      <c r="CE215" s="100">
        <f t="shared" si="182"/>
        <v>713.30637324227212</v>
      </c>
      <c r="CF215" s="100">
        <f t="shared" si="186"/>
        <v>44.919093277253175</v>
      </c>
      <c r="CG215" s="96">
        <f t="shared" si="187"/>
        <v>0.39065959093826019</v>
      </c>
      <c r="CH215" s="96">
        <f t="shared" si="168"/>
        <v>0.65444078973524511</v>
      </c>
      <c r="CJ215" s="95">
        <f>AF215/CJ$4</f>
        <v>0.10970464135021098</v>
      </c>
      <c r="CK215" s="93">
        <f t="shared" si="169"/>
        <v>10.457516339869281</v>
      </c>
      <c r="CL215" s="93">
        <f t="shared" si="170"/>
        <v>0.73684210526315796</v>
      </c>
      <c r="CM215" s="93">
        <f t="shared" si="171"/>
        <v>4.5610278372591004</v>
      </c>
      <c r="CN215" s="93">
        <f t="shared" si="172"/>
        <v>40.522875816993469</v>
      </c>
      <c r="CO215" s="93">
        <f t="shared" si="173"/>
        <v>12.413793103448274</v>
      </c>
      <c r="CP215" s="93">
        <f t="shared" si="174"/>
        <v>228.71046228710463</v>
      </c>
      <c r="CQ215" s="93">
        <f t="shared" si="175"/>
        <v>403.74331550802134</v>
      </c>
      <c r="CR215" s="93">
        <f t="shared" si="176"/>
        <v>724.40944881889766</v>
      </c>
      <c r="CS215" s="93">
        <f t="shared" si="177"/>
        <v>1448.7632508833924</v>
      </c>
      <c r="CT215" s="93">
        <f t="shared" si="178"/>
        <v>2175.226586102719</v>
      </c>
      <c r="CU215" s="93">
        <f t="shared" si="179"/>
        <v>3023.5294117647059</v>
      </c>
      <c r="CV215" s="93">
        <f t="shared" si="180"/>
        <v>3905.8823529411761</v>
      </c>
      <c r="CW215" s="93">
        <f t="shared" si="181"/>
        <v>5078.7401574803152</v>
      </c>
    </row>
    <row r="216" spans="1:101" s="98" customFormat="1">
      <c r="A216" s="3" t="s">
        <v>438</v>
      </c>
      <c r="B216" s="3" t="s">
        <v>268</v>
      </c>
      <c r="C216" s="3"/>
      <c r="D216" s="93">
        <v>5.5121000000000002</v>
      </c>
      <c r="E216" s="94">
        <v>0.18410000000000001</v>
      </c>
      <c r="F216" s="94">
        <v>2.3999999999999998E-3</v>
      </c>
      <c r="G216" s="95">
        <v>13.29</v>
      </c>
      <c r="H216" s="96">
        <v>0.36</v>
      </c>
      <c r="I216" s="97">
        <v>0.52480000000000004</v>
      </c>
      <c r="J216" s="95">
        <v>1.2E-2</v>
      </c>
      <c r="K216" s="96">
        <v>0.28072000000000003</v>
      </c>
      <c r="M216" s="99">
        <v>2720</v>
      </c>
      <c r="N216" s="98">
        <v>50</v>
      </c>
      <c r="O216" s="99">
        <v>2690</v>
      </c>
      <c r="P216" s="98">
        <v>11</v>
      </c>
      <c r="Q216" s="93">
        <v>-1.1000000000000001</v>
      </c>
      <c r="R216" s="97">
        <v>8.4999999999999995E-4</v>
      </c>
      <c r="T216" s="98">
        <v>240</v>
      </c>
      <c r="U216" s="98">
        <v>190</v>
      </c>
      <c r="V216" s="98">
        <v>0</v>
      </c>
      <c r="W216" s="98">
        <v>1.1000000000000001</v>
      </c>
      <c r="X216" s="98">
        <v>0.13</v>
      </c>
      <c r="Y216" s="98">
        <v>0.17</v>
      </c>
      <c r="Z216" s="98">
        <v>3.4</v>
      </c>
      <c r="AA216" s="98">
        <v>1</v>
      </c>
      <c r="AB216" s="98">
        <v>1.0900000000000001</v>
      </c>
      <c r="AC216" s="98">
        <v>0.57999999999999996</v>
      </c>
      <c r="AD216" s="98">
        <v>1096</v>
      </c>
      <c r="AE216" s="98">
        <v>90</v>
      </c>
      <c r="AF216" s="95">
        <v>0.376</v>
      </c>
      <c r="AG216" s="97">
        <v>8.7999999999999995E-2</v>
      </c>
      <c r="AH216" s="96">
        <v>3.36</v>
      </c>
      <c r="AI216" s="96">
        <v>0.54</v>
      </c>
      <c r="AJ216" s="95">
        <v>0.108</v>
      </c>
      <c r="AK216" s="95">
        <v>5.8999999999999997E-2</v>
      </c>
      <c r="AL216" s="96">
        <v>1.38</v>
      </c>
      <c r="AM216" s="96">
        <v>0.62</v>
      </c>
      <c r="AN216" s="96">
        <v>3.1</v>
      </c>
      <c r="AO216" s="96">
        <v>1.2</v>
      </c>
      <c r="AP216" s="96">
        <v>0.36</v>
      </c>
      <c r="AQ216" s="96">
        <v>0.17</v>
      </c>
      <c r="AR216" s="96">
        <v>17.399999999999999</v>
      </c>
      <c r="AS216" s="93">
        <v>2.8</v>
      </c>
      <c r="AT216" s="96">
        <v>6.7</v>
      </c>
      <c r="AU216" s="96">
        <v>1.4</v>
      </c>
      <c r="AV216" s="99">
        <v>90</v>
      </c>
      <c r="AW216" s="98">
        <v>10</v>
      </c>
      <c r="AX216" s="98">
        <v>37.799999999999997</v>
      </c>
      <c r="AY216" s="98">
        <v>4.9000000000000004</v>
      </c>
      <c r="AZ216" s="98">
        <v>178</v>
      </c>
      <c r="BA216" s="98">
        <v>19</v>
      </c>
      <c r="BB216" s="98">
        <v>37.6</v>
      </c>
      <c r="BC216" s="98">
        <v>3.5</v>
      </c>
      <c r="BD216" s="98">
        <v>353</v>
      </c>
      <c r="BE216" s="98">
        <v>34</v>
      </c>
      <c r="BF216" s="98">
        <v>74</v>
      </c>
      <c r="BG216" s="98">
        <v>7.7</v>
      </c>
      <c r="BI216" s="93">
        <v>5.5</v>
      </c>
      <c r="BJ216" s="98">
        <v>2.4</v>
      </c>
      <c r="BK216" s="98">
        <v>505000</v>
      </c>
      <c r="BL216" s="98">
        <v>31000</v>
      </c>
      <c r="BM216" s="98">
        <v>9390</v>
      </c>
      <c r="BN216" s="98">
        <v>860</v>
      </c>
      <c r="BO216" s="99">
        <v>14.2</v>
      </c>
      <c r="BP216" s="98">
        <v>1.2</v>
      </c>
      <c r="BQ216" s="99">
        <v>32.1</v>
      </c>
      <c r="BR216" s="98">
        <v>2.7</v>
      </c>
      <c r="BT216" s="95">
        <f t="shared" si="159"/>
        <v>9.0934844192634562E-2</v>
      </c>
      <c r="BU216" s="96">
        <f t="shared" si="160"/>
        <v>2.4347826086956523</v>
      </c>
      <c r="BV216" s="96">
        <f t="shared" si="161"/>
        <v>53.780617678381255</v>
      </c>
      <c r="BW216" s="96">
        <f t="shared" si="162"/>
        <v>0.44236760124610586</v>
      </c>
      <c r="BX216" s="99">
        <f>CK216/SQRT(CJ216*CL216)</f>
        <v>4.0880672426518005</v>
      </c>
      <c r="BY216" s="96">
        <f t="shared" si="163"/>
        <v>2.4347826086956523</v>
      </c>
      <c r="BZ216" s="97">
        <f t="shared" si="164"/>
        <v>2.221516978736909E-3</v>
      </c>
      <c r="CA216" s="95">
        <f t="shared" si="165"/>
        <v>0.14985480216249722</v>
      </c>
      <c r="CB216" s="99">
        <f t="shared" si="157"/>
        <v>52.532857541657101</v>
      </c>
      <c r="CC216" s="99">
        <f t="shared" si="157"/>
        <v>4.418651568924429</v>
      </c>
      <c r="CD216" s="100">
        <f t="shared" si="166"/>
        <v>717.41924957247181</v>
      </c>
      <c r="CE216" s="100">
        <f t="shared" si="182"/>
        <v>754.77369387117153</v>
      </c>
      <c r="CF216" s="100">
        <f t="shared" si="186"/>
        <v>43.822749121665794</v>
      </c>
      <c r="CG216" s="96">
        <f t="shared" si="187"/>
        <v>-0.52918974369728522</v>
      </c>
      <c r="CH216" s="96">
        <f t="shared" si="168"/>
        <v>0.52919361975448942</v>
      </c>
      <c r="CJ216" s="95">
        <f>AF216/CJ$4</f>
        <v>1.5864978902953588</v>
      </c>
      <c r="CK216" s="93">
        <f t="shared" si="169"/>
        <v>5.4901960784313726</v>
      </c>
      <c r="CL216" s="93">
        <f t="shared" si="170"/>
        <v>1.1368421052631579</v>
      </c>
      <c r="CM216" s="93">
        <f t="shared" si="171"/>
        <v>2.9550321199143466</v>
      </c>
      <c r="CN216" s="93">
        <f t="shared" si="172"/>
        <v>20.261437908496735</v>
      </c>
      <c r="CO216" s="93">
        <f t="shared" si="173"/>
        <v>6.206896551724137</v>
      </c>
      <c r="CP216" s="93">
        <f t="shared" si="174"/>
        <v>84.671532846715323</v>
      </c>
      <c r="CQ216" s="93">
        <f t="shared" si="175"/>
        <v>179.14438502673795</v>
      </c>
      <c r="CR216" s="93">
        <f t="shared" si="176"/>
        <v>354.3307086614173</v>
      </c>
      <c r="CS216" s="93">
        <f t="shared" si="177"/>
        <v>667.84452296819791</v>
      </c>
      <c r="CT216" s="93">
        <f t="shared" si="178"/>
        <v>1075.5287009063443</v>
      </c>
      <c r="CU216" s="93">
        <f t="shared" si="179"/>
        <v>1474.5098039215688</v>
      </c>
      <c r="CV216" s="93">
        <f t="shared" si="180"/>
        <v>2076.4705882352941</v>
      </c>
      <c r="CW216" s="93">
        <f t="shared" si="181"/>
        <v>2913.3858267716537</v>
      </c>
    </row>
    <row r="217" spans="1:101" s="98" customFormat="1">
      <c r="A217" s="3" t="s">
        <v>439</v>
      </c>
      <c r="B217" s="3" t="s">
        <v>268</v>
      </c>
      <c r="C217" s="3"/>
      <c r="D217" s="93">
        <v>6.1597</v>
      </c>
      <c r="E217" s="94">
        <v>0.18643999999999999</v>
      </c>
      <c r="F217" s="94">
        <v>8.8000000000000003E-4</v>
      </c>
      <c r="G217" s="95">
        <v>13.88</v>
      </c>
      <c r="H217" s="96">
        <v>0.38</v>
      </c>
      <c r="I217" s="97">
        <v>0.54120000000000001</v>
      </c>
      <c r="J217" s="95">
        <v>1.2999999999999999E-2</v>
      </c>
      <c r="K217" s="96">
        <v>0.95118000000000003</v>
      </c>
      <c r="M217" s="99">
        <v>2788</v>
      </c>
      <c r="N217" s="98">
        <v>54</v>
      </c>
      <c r="O217" s="99">
        <v>2710.7</v>
      </c>
      <c r="P217" s="98">
        <v>3.4</v>
      </c>
      <c r="Q217" s="93">
        <v>-2.85</v>
      </c>
      <c r="R217" s="97">
        <v>0</v>
      </c>
      <c r="T217" s="98">
        <v>440</v>
      </c>
      <c r="U217" s="98">
        <v>100</v>
      </c>
      <c r="V217" s="98">
        <v>0.4</v>
      </c>
      <c r="W217" s="98">
        <v>1.6</v>
      </c>
      <c r="X217" s="98">
        <v>0.47</v>
      </c>
      <c r="Y217" s="98">
        <v>0.33</v>
      </c>
      <c r="Z217" s="98">
        <v>12.7</v>
      </c>
      <c r="AA217" s="98">
        <v>1.6</v>
      </c>
      <c r="AB217" s="98">
        <v>6.1</v>
      </c>
      <c r="AC217" s="98">
        <v>1.2</v>
      </c>
      <c r="AD217" s="98">
        <v>2710</v>
      </c>
      <c r="AE217" s="98">
        <v>290</v>
      </c>
      <c r="AF217" s="95" t="s">
        <v>250</v>
      </c>
      <c r="AG217" s="97" t="s">
        <v>250</v>
      </c>
      <c r="AH217" s="96">
        <v>16.600000000000001</v>
      </c>
      <c r="AI217" s="96">
        <v>2.1</v>
      </c>
      <c r="AJ217" s="95">
        <v>4.5999999999999999E-2</v>
      </c>
      <c r="AK217" s="95">
        <v>3.3000000000000002E-2</v>
      </c>
      <c r="AL217" s="96">
        <v>1.1299999999999999</v>
      </c>
      <c r="AM217" s="96">
        <v>0.55000000000000004</v>
      </c>
      <c r="AN217" s="96">
        <v>5.2</v>
      </c>
      <c r="AO217" s="96">
        <v>1.9</v>
      </c>
      <c r="AP217" s="96">
        <v>0.49</v>
      </c>
      <c r="AQ217" s="96">
        <v>0.15</v>
      </c>
      <c r="AR217" s="96">
        <v>39.5</v>
      </c>
      <c r="AS217" s="93">
        <v>4.4000000000000004</v>
      </c>
      <c r="AT217" s="96">
        <v>14.7</v>
      </c>
      <c r="AU217" s="96">
        <v>1.4</v>
      </c>
      <c r="AV217" s="99">
        <v>197</v>
      </c>
      <c r="AW217" s="98">
        <v>23</v>
      </c>
      <c r="AX217" s="98">
        <v>85.8</v>
      </c>
      <c r="AY217" s="98">
        <v>7.6</v>
      </c>
      <c r="AZ217" s="98">
        <v>433</v>
      </c>
      <c r="BA217" s="98">
        <v>46</v>
      </c>
      <c r="BB217" s="98">
        <v>92</v>
      </c>
      <c r="BC217" s="98">
        <v>11</v>
      </c>
      <c r="BD217" s="98">
        <v>850</v>
      </c>
      <c r="BE217" s="98">
        <v>100</v>
      </c>
      <c r="BF217" s="98">
        <v>169</v>
      </c>
      <c r="BG217" s="98">
        <v>14</v>
      </c>
      <c r="BI217" s="93">
        <v>3.5</v>
      </c>
      <c r="BJ217" s="98">
        <v>2.8</v>
      </c>
      <c r="BK217" s="98">
        <v>547000</v>
      </c>
      <c r="BL217" s="98">
        <v>60000</v>
      </c>
      <c r="BM217" s="98">
        <v>12200</v>
      </c>
      <c r="BN217" s="98">
        <v>1300</v>
      </c>
      <c r="BO217" s="99">
        <v>106</v>
      </c>
      <c r="BP217" s="98">
        <v>10</v>
      </c>
      <c r="BQ217" s="99">
        <v>245</v>
      </c>
      <c r="BR217" s="98">
        <v>24</v>
      </c>
      <c r="BT217" s="95">
        <f t="shared" si="159"/>
        <v>0.28823529411764703</v>
      </c>
      <c r="BU217" s="96">
        <f t="shared" si="160"/>
        <v>14.690265486725666</v>
      </c>
      <c r="BV217" s="96">
        <f t="shared" si="161"/>
        <v>44.83606557377049</v>
      </c>
      <c r="BW217" s="96">
        <f t="shared" si="162"/>
        <v>0.43265306122448982</v>
      </c>
      <c r="BX217" s="99"/>
      <c r="BY217" s="96">
        <f t="shared" si="163"/>
        <v>14.690265486725666</v>
      </c>
      <c r="BZ217" s="97">
        <f t="shared" si="164"/>
        <v>5.4207621722234933E-3</v>
      </c>
      <c r="CA217" s="95">
        <f t="shared" si="165"/>
        <v>0.10452483612925743</v>
      </c>
      <c r="CB217" s="99">
        <f t="shared" ref="CB217:CC280" si="188">BQ217*(EXP(0.0001551*2740)+0.0072*EXP(2740*0.0009849))</f>
        <v>400.95171643943888</v>
      </c>
      <c r="CC217" s="99">
        <f t="shared" si="188"/>
        <v>39.276902834883813</v>
      </c>
      <c r="CD217" s="100">
        <f t="shared" si="166"/>
        <v>678.8544536895605</v>
      </c>
      <c r="CE217" s="100">
        <f t="shared" si="182"/>
        <v>713.30637324227212</v>
      </c>
      <c r="CF217" s="100">
        <f t="shared" si="186"/>
        <v>72.686361679331256</v>
      </c>
      <c r="CG217" s="96">
        <f t="shared" si="187"/>
        <v>0.86964682919975145</v>
      </c>
      <c r="CH217" s="96">
        <f t="shared" si="168"/>
        <v>0.86007407475915787</v>
      </c>
      <c r="CJ217" s="95"/>
      <c r="CK217" s="93">
        <f t="shared" si="169"/>
        <v>27.124183006535951</v>
      </c>
      <c r="CL217" s="93">
        <f t="shared" si="170"/>
        <v>0.48421052631578948</v>
      </c>
      <c r="CM217" s="93">
        <f t="shared" si="171"/>
        <v>2.4197002141327619</v>
      </c>
      <c r="CN217" s="93">
        <f t="shared" si="172"/>
        <v>33.986928104575163</v>
      </c>
      <c r="CO217" s="93">
        <f t="shared" si="173"/>
        <v>8.4482758620689644</v>
      </c>
      <c r="CP217" s="93">
        <f t="shared" si="174"/>
        <v>192.21411192214114</v>
      </c>
      <c r="CQ217" s="93">
        <f t="shared" si="175"/>
        <v>393.04812834224595</v>
      </c>
      <c r="CR217" s="93">
        <f t="shared" si="176"/>
        <v>775.59055118110234</v>
      </c>
      <c r="CS217" s="93">
        <f t="shared" si="177"/>
        <v>1515.9010600706713</v>
      </c>
      <c r="CT217" s="93">
        <f t="shared" si="178"/>
        <v>2616.3141993957702</v>
      </c>
      <c r="CU217" s="93">
        <f t="shared" si="179"/>
        <v>3607.8431372549021</v>
      </c>
      <c r="CV217" s="93">
        <f t="shared" si="180"/>
        <v>5000</v>
      </c>
      <c r="CW217" s="93">
        <f t="shared" si="181"/>
        <v>6653.5433070866147</v>
      </c>
    </row>
    <row r="218" spans="1:101" s="98" customFormat="1">
      <c r="A218" s="3" t="s">
        <v>440</v>
      </c>
      <c r="B218" s="3" t="s">
        <v>268</v>
      </c>
      <c r="C218" s="3"/>
      <c r="D218" s="93">
        <v>5.9217000000000004</v>
      </c>
      <c r="E218" s="94">
        <v>0.185</v>
      </c>
      <c r="F218" s="94">
        <v>2.0999999999999999E-3</v>
      </c>
      <c r="G218" s="95">
        <v>13.29</v>
      </c>
      <c r="H218" s="96">
        <v>0.37</v>
      </c>
      <c r="I218" s="97">
        <v>0.5222</v>
      </c>
      <c r="J218" s="95">
        <v>1.2E-2</v>
      </c>
      <c r="K218" s="96">
        <v>0.63138000000000005</v>
      </c>
      <c r="M218" s="99">
        <v>2708</v>
      </c>
      <c r="N218" s="98">
        <v>49</v>
      </c>
      <c r="O218" s="99">
        <v>2699</v>
      </c>
      <c r="P218" s="98">
        <v>12</v>
      </c>
      <c r="Q218" s="93">
        <v>-0.36</v>
      </c>
      <c r="R218" s="97">
        <v>1.16E-3</v>
      </c>
      <c r="T218" s="98">
        <v>210</v>
      </c>
      <c r="U218" s="98">
        <v>170</v>
      </c>
      <c r="V218" s="98" t="s">
        <v>250</v>
      </c>
      <c r="W218" s="98" t="s">
        <v>250</v>
      </c>
      <c r="X218" s="98">
        <v>0.26</v>
      </c>
      <c r="Y218" s="98">
        <v>0.24</v>
      </c>
      <c r="Z218" s="98">
        <v>2.57</v>
      </c>
      <c r="AA218" s="98">
        <v>0.98</v>
      </c>
      <c r="AB218" s="98">
        <v>1.04</v>
      </c>
      <c r="AC218" s="98">
        <v>0.38</v>
      </c>
      <c r="AD218" s="98">
        <v>2280</v>
      </c>
      <c r="AE218" s="98">
        <v>270</v>
      </c>
      <c r="AF218" s="95">
        <v>0.01</v>
      </c>
      <c r="AG218" s="97">
        <v>1.2E-2</v>
      </c>
      <c r="AH218" s="96">
        <v>2.65</v>
      </c>
      <c r="AI218" s="96">
        <v>0.56000000000000005</v>
      </c>
      <c r="AJ218" s="95">
        <v>0.14699999999999999</v>
      </c>
      <c r="AK218" s="95">
        <v>0.06</v>
      </c>
      <c r="AL218" s="96">
        <v>2.5</v>
      </c>
      <c r="AM218" s="96">
        <v>1</v>
      </c>
      <c r="AN218" s="96">
        <v>5.85</v>
      </c>
      <c r="AO218" s="96">
        <v>0.95</v>
      </c>
      <c r="AP218" s="96">
        <v>1.41</v>
      </c>
      <c r="AQ218" s="96">
        <v>0.2</v>
      </c>
      <c r="AR218" s="96">
        <v>42.6</v>
      </c>
      <c r="AS218" s="93">
        <v>6.7</v>
      </c>
      <c r="AT218" s="96">
        <v>15.6</v>
      </c>
      <c r="AU218" s="96">
        <v>1.9</v>
      </c>
      <c r="AV218" s="99">
        <v>203</v>
      </c>
      <c r="AW218" s="98">
        <v>24</v>
      </c>
      <c r="AX218" s="98">
        <v>77.7</v>
      </c>
      <c r="AY218" s="98">
        <v>8.8000000000000007</v>
      </c>
      <c r="AZ218" s="98">
        <v>379</v>
      </c>
      <c r="BA218" s="98">
        <v>47</v>
      </c>
      <c r="BB218" s="98">
        <v>70.900000000000006</v>
      </c>
      <c r="BC218" s="98">
        <v>7.5</v>
      </c>
      <c r="BD218" s="98">
        <v>624</v>
      </c>
      <c r="BE218" s="98">
        <v>66</v>
      </c>
      <c r="BF218" s="98">
        <v>119</v>
      </c>
      <c r="BG218" s="98">
        <v>10</v>
      </c>
      <c r="BI218" s="93">
        <v>3.6</v>
      </c>
      <c r="BJ218" s="98">
        <v>2.5</v>
      </c>
      <c r="BK218" s="98">
        <v>503000</v>
      </c>
      <c r="BL218" s="98">
        <v>49000</v>
      </c>
      <c r="BM218" s="98">
        <v>8030</v>
      </c>
      <c r="BN218" s="98">
        <v>700</v>
      </c>
      <c r="BO218" s="99">
        <v>23</v>
      </c>
      <c r="BP218" s="98">
        <v>2.7</v>
      </c>
      <c r="BQ218" s="99">
        <v>40.5</v>
      </c>
      <c r="BR218" s="98">
        <v>3.9</v>
      </c>
      <c r="BT218" s="95">
        <f t="shared" si="159"/>
        <v>6.4903846153846159E-2</v>
      </c>
      <c r="BU218" s="96">
        <f t="shared" si="160"/>
        <v>1.06</v>
      </c>
      <c r="BV218" s="96">
        <f t="shared" si="161"/>
        <v>62.640099626400996</v>
      </c>
      <c r="BW218" s="96">
        <f t="shared" si="162"/>
        <v>0.5679012345679012</v>
      </c>
      <c r="BX218" s="99">
        <f>CK218/SQRT(CJ218*CL218)</f>
        <v>16.946177852136888</v>
      </c>
      <c r="BY218" s="96">
        <f t="shared" si="163"/>
        <v>1.06</v>
      </c>
      <c r="BZ218" s="97">
        <f t="shared" si="164"/>
        <v>4.6491228070175443E-4</v>
      </c>
      <c r="CA218" s="95">
        <f t="shared" si="165"/>
        <v>0.27306121292811603</v>
      </c>
      <c r="CB218" s="99">
        <f t="shared" si="188"/>
        <v>66.279773533866432</v>
      </c>
      <c r="CC218" s="99">
        <f t="shared" si="188"/>
        <v>6.3824967106686188</v>
      </c>
      <c r="CD218" s="100">
        <f t="shared" si="166"/>
        <v>681.17012279958135</v>
      </c>
      <c r="CE218" s="100">
        <f t="shared" si="182"/>
        <v>715.7928965768109</v>
      </c>
      <c r="CF218" s="100">
        <f t="shared" si="186"/>
        <v>63.610829538788657</v>
      </c>
      <c r="CG218" s="96">
        <f t="shared" si="187"/>
        <v>-0.77472757863016506</v>
      </c>
      <c r="CH218" s="96">
        <f t="shared" si="168"/>
        <v>0.80494519547586529</v>
      </c>
      <c r="CJ218" s="95">
        <f>AF218/CJ$4</f>
        <v>4.2194092827004225E-2</v>
      </c>
      <c r="CK218" s="93">
        <f t="shared" si="169"/>
        <v>4.3300653594771239</v>
      </c>
      <c r="CL218" s="93">
        <f t="shared" si="170"/>
        <v>1.5473684210526315</v>
      </c>
      <c r="CM218" s="93">
        <f t="shared" si="171"/>
        <v>5.3533190578158454</v>
      </c>
      <c r="CN218" s="93">
        <f t="shared" si="172"/>
        <v>38.235294117647058</v>
      </c>
      <c r="CO218" s="93">
        <f t="shared" si="173"/>
        <v>24.310344827586203</v>
      </c>
      <c r="CP218" s="93">
        <f t="shared" si="174"/>
        <v>207.29927007299273</v>
      </c>
      <c r="CQ218" s="93">
        <f t="shared" si="175"/>
        <v>417.1122994652406</v>
      </c>
      <c r="CR218" s="93">
        <f t="shared" si="176"/>
        <v>799.2125984251968</v>
      </c>
      <c r="CS218" s="93">
        <f t="shared" si="177"/>
        <v>1372.791519434629</v>
      </c>
      <c r="CT218" s="93">
        <f t="shared" si="178"/>
        <v>2290.0302114803626</v>
      </c>
      <c r="CU218" s="93">
        <f t="shared" si="179"/>
        <v>2780.3921568627457</v>
      </c>
      <c r="CV218" s="93">
        <f t="shared" si="180"/>
        <v>3670.5882352941176</v>
      </c>
      <c r="CW218" s="93">
        <f t="shared" si="181"/>
        <v>4685.0393700787399</v>
      </c>
    </row>
    <row r="219" spans="1:101" s="98" customFormat="1">
      <c r="A219" s="3" t="s">
        <v>441</v>
      </c>
      <c r="B219" s="3" t="s">
        <v>268</v>
      </c>
      <c r="C219" s="3"/>
      <c r="D219" s="93">
        <v>5.78</v>
      </c>
      <c r="E219" s="94">
        <v>0.18870000000000001</v>
      </c>
      <c r="F219" s="94">
        <v>3.8E-3</v>
      </c>
      <c r="G219" s="95">
        <v>13.55</v>
      </c>
      <c r="H219" s="96">
        <v>0.43</v>
      </c>
      <c r="I219" s="97">
        <v>0.52200000000000002</v>
      </c>
      <c r="J219" s="95">
        <v>1.2E-2</v>
      </c>
      <c r="K219" s="96">
        <v>0.33767000000000003</v>
      </c>
      <c r="M219" s="99">
        <v>2707</v>
      </c>
      <c r="N219" s="98">
        <v>50</v>
      </c>
      <c r="O219" s="99">
        <v>2731</v>
      </c>
      <c r="P219" s="98">
        <v>25</v>
      </c>
      <c r="Q219" s="93">
        <v>0.84</v>
      </c>
      <c r="R219" s="97">
        <v>4.7999999999999996E-3</v>
      </c>
      <c r="T219" s="98">
        <v>150</v>
      </c>
      <c r="U219" s="98">
        <v>130</v>
      </c>
      <c r="V219" s="98">
        <v>0.5</v>
      </c>
      <c r="W219" s="98">
        <v>1.7</v>
      </c>
      <c r="X219" s="98">
        <v>0.16</v>
      </c>
      <c r="Y219" s="98">
        <v>0.23</v>
      </c>
      <c r="Z219" s="98">
        <v>2.29</v>
      </c>
      <c r="AA219" s="98">
        <v>0.67</v>
      </c>
      <c r="AB219" s="98">
        <v>1.02</v>
      </c>
      <c r="AC219" s="98">
        <v>0.35</v>
      </c>
      <c r="AD219" s="98">
        <v>923</v>
      </c>
      <c r="AE219" s="98">
        <v>74</v>
      </c>
      <c r="AF219" s="95" t="s">
        <v>250</v>
      </c>
      <c r="AG219" s="97" t="s">
        <v>250</v>
      </c>
      <c r="AH219" s="96">
        <v>2.66</v>
      </c>
      <c r="AI219" s="96">
        <v>0.48</v>
      </c>
      <c r="AJ219" s="95">
        <v>1.6E-2</v>
      </c>
      <c r="AK219" s="95">
        <v>2.4E-2</v>
      </c>
      <c r="AL219" s="96">
        <v>0.42</v>
      </c>
      <c r="AM219" s="96">
        <v>0.39</v>
      </c>
      <c r="AN219" s="96">
        <v>1.59</v>
      </c>
      <c r="AO219" s="96">
        <v>0.72</v>
      </c>
      <c r="AP219" s="96">
        <v>0.43</v>
      </c>
      <c r="AQ219" s="96">
        <v>0.16</v>
      </c>
      <c r="AR219" s="96">
        <v>16.2</v>
      </c>
      <c r="AS219" s="93">
        <v>3</v>
      </c>
      <c r="AT219" s="96">
        <v>6.3</v>
      </c>
      <c r="AU219" s="96">
        <v>1</v>
      </c>
      <c r="AV219" s="99">
        <v>79</v>
      </c>
      <c r="AW219" s="98">
        <v>10</v>
      </c>
      <c r="AX219" s="98">
        <v>32.6</v>
      </c>
      <c r="AY219" s="98">
        <v>3</v>
      </c>
      <c r="AZ219" s="98">
        <v>161</v>
      </c>
      <c r="BA219" s="98">
        <v>17</v>
      </c>
      <c r="BB219" s="98">
        <v>34.5</v>
      </c>
      <c r="BC219" s="98">
        <v>4.2</v>
      </c>
      <c r="BD219" s="98">
        <v>300</v>
      </c>
      <c r="BE219" s="98">
        <v>19</v>
      </c>
      <c r="BF219" s="98">
        <v>62.4</v>
      </c>
      <c r="BG219" s="98">
        <v>7</v>
      </c>
      <c r="BI219" s="93">
        <v>2.2000000000000002</v>
      </c>
      <c r="BJ219" s="98">
        <v>2.2000000000000002</v>
      </c>
      <c r="BK219" s="98">
        <v>476000</v>
      </c>
      <c r="BL219" s="98">
        <v>46000</v>
      </c>
      <c r="BM219" s="98">
        <v>8740</v>
      </c>
      <c r="BN219" s="98">
        <v>670</v>
      </c>
      <c r="BO219" s="99">
        <v>10.3</v>
      </c>
      <c r="BP219" s="98">
        <v>1.1000000000000001</v>
      </c>
      <c r="BQ219" s="99">
        <v>25.1</v>
      </c>
      <c r="BR219" s="98">
        <v>2.1</v>
      </c>
      <c r="BT219" s="95">
        <f t="shared" si="159"/>
        <v>8.3666666666666667E-2</v>
      </c>
      <c r="BU219" s="96">
        <f t="shared" si="160"/>
        <v>6.3333333333333339</v>
      </c>
      <c r="BV219" s="96">
        <f t="shared" si="161"/>
        <v>54.462242562929063</v>
      </c>
      <c r="BW219" s="96">
        <f t="shared" si="162"/>
        <v>0.41035856573705182</v>
      </c>
      <c r="BX219" s="99"/>
      <c r="BY219" s="96">
        <f t="shared" si="163"/>
        <v>6.3333333333333339</v>
      </c>
      <c r="BZ219" s="97">
        <f t="shared" si="164"/>
        <v>6.8616829180209466E-3</v>
      </c>
      <c r="CA219" s="95">
        <f t="shared" si="165"/>
        <v>0.25902162348413482</v>
      </c>
      <c r="CB219" s="99">
        <f t="shared" si="188"/>
        <v>41.077094214815986</v>
      </c>
      <c r="CC219" s="99">
        <f t="shared" si="188"/>
        <v>3.4367289980523337</v>
      </c>
      <c r="CD219" s="100">
        <f t="shared" si="166"/>
        <v>642.24489696253977</v>
      </c>
      <c r="CE219" s="100">
        <f t="shared" si="182"/>
        <v>674.05378391487886</v>
      </c>
      <c r="CF219" s="100">
        <f t="shared" si="186"/>
        <v>83.869707999837161</v>
      </c>
      <c r="CG219" s="96">
        <f t="shared" si="187"/>
        <v>7.3013052268958489E-2</v>
      </c>
      <c r="CH219" s="96">
        <f t="shared" si="168"/>
        <v>1.063749979743323</v>
      </c>
      <c r="CJ219" s="95"/>
      <c r="CK219" s="93">
        <f t="shared" si="169"/>
        <v>4.3464052287581705</v>
      </c>
      <c r="CL219" s="93">
        <f t="shared" si="170"/>
        <v>0.16842105263157894</v>
      </c>
      <c r="CM219" s="93">
        <f t="shared" si="171"/>
        <v>0.899357601713062</v>
      </c>
      <c r="CN219" s="93">
        <f t="shared" si="172"/>
        <v>10.392156862745098</v>
      </c>
      <c r="CO219" s="93">
        <f t="shared" si="173"/>
        <v>7.4137931034482758</v>
      </c>
      <c r="CP219" s="93">
        <f t="shared" si="174"/>
        <v>78.832116788321173</v>
      </c>
      <c r="CQ219" s="93">
        <f t="shared" si="175"/>
        <v>168.44919786096256</v>
      </c>
      <c r="CR219" s="93">
        <f t="shared" si="176"/>
        <v>311.02362204724409</v>
      </c>
      <c r="CS219" s="93">
        <f t="shared" si="177"/>
        <v>575.97173144876331</v>
      </c>
      <c r="CT219" s="93">
        <f t="shared" si="178"/>
        <v>972.80966767371592</v>
      </c>
      <c r="CU219" s="93">
        <f t="shared" si="179"/>
        <v>1352.9411764705883</v>
      </c>
      <c r="CV219" s="93">
        <f t="shared" si="180"/>
        <v>1764.705882352941</v>
      </c>
      <c r="CW219" s="93">
        <f t="shared" si="181"/>
        <v>2456.6929133858266</v>
      </c>
    </row>
    <row r="220" spans="1:101" s="98" customFormat="1">
      <c r="A220" s="3" t="s">
        <v>442</v>
      </c>
      <c r="B220" s="3" t="s">
        <v>268</v>
      </c>
      <c r="C220" s="3"/>
      <c r="D220" s="93">
        <v>5.3108000000000004</v>
      </c>
      <c r="E220" s="94">
        <v>0.18429999999999999</v>
      </c>
      <c r="F220" s="94">
        <v>3.0999999999999999E-3</v>
      </c>
      <c r="G220" s="95">
        <v>12.83</v>
      </c>
      <c r="H220" s="96">
        <v>0.39</v>
      </c>
      <c r="I220" s="97">
        <v>0.50600000000000001</v>
      </c>
      <c r="J220" s="95">
        <v>1.2E-2</v>
      </c>
      <c r="K220" s="96">
        <v>0.44139</v>
      </c>
      <c r="M220" s="99">
        <v>2639</v>
      </c>
      <c r="N220" s="98">
        <v>51</v>
      </c>
      <c r="O220" s="99">
        <v>2690</v>
      </c>
      <c r="P220" s="98">
        <v>14</v>
      </c>
      <c r="Q220" s="93">
        <v>1.87</v>
      </c>
      <c r="R220" s="97">
        <v>7.7000000000000002E-3</v>
      </c>
      <c r="T220" s="98">
        <v>290</v>
      </c>
      <c r="U220" s="98">
        <v>160</v>
      </c>
      <c r="V220" s="98" t="s">
        <v>250</v>
      </c>
      <c r="W220" s="98" t="s">
        <v>250</v>
      </c>
      <c r="X220" s="98">
        <v>0.26</v>
      </c>
      <c r="Y220" s="98">
        <v>0.21</v>
      </c>
      <c r="Z220" s="98">
        <v>2.57</v>
      </c>
      <c r="AA220" s="98">
        <v>0.93</v>
      </c>
      <c r="AB220" s="98">
        <v>0.56000000000000005</v>
      </c>
      <c r="AC220" s="98">
        <v>0.42</v>
      </c>
      <c r="AD220" s="98">
        <v>1300</v>
      </c>
      <c r="AE220" s="98">
        <v>160</v>
      </c>
      <c r="AF220" s="95">
        <v>0.41</v>
      </c>
      <c r="AG220" s="97">
        <v>0.11</v>
      </c>
      <c r="AH220" s="96">
        <v>2.39</v>
      </c>
      <c r="AI220" s="96">
        <v>0.6</v>
      </c>
      <c r="AJ220" s="95">
        <v>0.10199999999999999</v>
      </c>
      <c r="AK220" s="95">
        <v>5.3999999999999999E-2</v>
      </c>
      <c r="AL220" s="96">
        <v>1.3</v>
      </c>
      <c r="AM220" s="96">
        <v>0.61</v>
      </c>
      <c r="AN220" s="96">
        <v>3.7</v>
      </c>
      <c r="AO220" s="96">
        <v>1.6</v>
      </c>
      <c r="AP220" s="96">
        <v>0.72</v>
      </c>
      <c r="AQ220" s="96">
        <v>0.25</v>
      </c>
      <c r="AR220" s="96">
        <v>21.7</v>
      </c>
      <c r="AS220" s="93">
        <v>3.8</v>
      </c>
      <c r="AT220" s="96">
        <v>8.1999999999999993</v>
      </c>
      <c r="AU220" s="96">
        <v>1.2</v>
      </c>
      <c r="AV220" s="99">
        <v>109</v>
      </c>
      <c r="AW220" s="98">
        <v>17</v>
      </c>
      <c r="AX220" s="98">
        <v>40.5</v>
      </c>
      <c r="AY220" s="98">
        <v>5.2</v>
      </c>
      <c r="AZ220" s="98">
        <v>223</v>
      </c>
      <c r="BA220" s="98">
        <v>33</v>
      </c>
      <c r="BB220" s="98">
        <v>44</v>
      </c>
      <c r="BC220" s="98">
        <v>3.8</v>
      </c>
      <c r="BD220" s="98">
        <v>409</v>
      </c>
      <c r="BE220" s="98">
        <v>48</v>
      </c>
      <c r="BF220" s="98">
        <v>87</v>
      </c>
      <c r="BG220" s="98">
        <v>11</v>
      </c>
      <c r="BI220" s="93">
        <v>6.8</v>
      </c>
      <c r="BJ220" s="98">
        <v>2.7</v>
      </c>
      <c r="BK220" s="98">
        <v>523000</v>
      </c>
      <c r="BL220" s="98">
        <v>48000</v>
      </c>
      <c r="BM220" s="98">
        <v>8700</v>
      </c>
      <c r="BN220" s="98">
        <v>1000</v>
      </c>
      <c r="BO220" s="99">
        <v>11.4</v>
      </c>
      <c r="BP220" s="98">
        <v>1.1000000000000001</v>
      </c>
      <c r="BQ220" s="99">
        <v>24.7</v>
      </c>
      <c r="BR220" s="98">
        <v>2.5</v>
      </c>
      <c r="BT220" s="95">
        <f t="shared" si="159"/>
        <v>6.0391198044009775E-2</v>
      </c>
      <c r="BU220" s="96">
        <f t="shared" si="160"/>
        <v>1.8384615384615386</v>
      </c>
      <c r="BV220" s="96">
        <f t="shared" si="161"/>
        <v>60.114942528735632</v>
      </c>
      <c r="BW220" s="96">
        <f t="shared" si="162"/>
        <v>0.46153846153846156</v>
      </c>
      <c r="BX220" s="99">
        <f>CK220/SQRT(CJ220*CL220)</f>
        <v>2.8654342010815879</v>
      </c>
      <c r="BY220" s="96">
        <f t="shared" si="163"/>
        <v>1.8384615384615386</v>
      </c>
      <c r="BZ220" s="97">
        <f t="shared" si="164"/>
        <v>1.4142011834319527E-3</v>
      </c>
      <c r="CA220" s="95">
        <f t="shared" si="165"/>
        <v>0.24565488367251151</v>
      </c>
      <c r="CB220" s="99">
        <f t="shared" si="188"/>
        <v>40.422479167567921</v>
      </c>
      <c r="CC220" s="99">
        <f t="shared" si="188"/>
        <v>4.0913440453003966</v>
      </c>
      <c r="CD220" s="100">
        <f t="shared" si="166"/>
        <v>736.62114500649989</v>
      </c>
      <c r="CE220" s="100">
        <f t="shared" si="182"/>
        <v>775.46623155621057</v>
      </c>
      <c r="CF220" s="100">
        <f t="shared" si="186"/>
        <v>41.636707643766584</v>
      </c>
      <c r="CG220" s="96">
        <f t="shared" si="187"/>
        <v>-1.0762604331129313</v>
      </c>
      <c r="CH220" s="96">
        <f t="shared" si="168"/>
        <v>0.62657651409348625</v>
      </c>
      <c r="CJ220" s="95">
        <f>AF220/CJ$4</f>
        <v>1.729957805907173</v>
      </c>
      <c r="CK220" s="93">
        <f t="shared" si="169"/>
        <v>3.905228758169935</v>
      </c>
      <c r="CL220" s="93">
        <f t="shared" si="170"/>
        <v>1.0736842105263158</v>
      </c>
      <c r="CM220" s="93">
        <f t="shared" si="171"/>
        <v>2.78372591006424</v>
      </c>
      <c r="CN220" s="93">
        <f t="shared" si="172"/>
        <v>24.183006535947715</v>
      </c>
      <c r="CO220" s="93">
        <f t="shared" si="173"/>
        <v>12.413793103448274</v>
      </c>
      <c r="CP220" s="93">
        <f t="shared" si="174"/>
        <v>105.59610705596107</v>
      </c>
      <c r="CQ220" s="93">
        <f t="shared" si="175"/>
        <v>219.25133689839569</v>
      </c>
      <c r="CR220" s="93">
        <f t="shared" si="176"/>
        <v>429.1338582677165</v>
      </c>
      <c r="CS220" s="93">
        <f t="shared" si="177"/>
        <v>715.54770318021201</v>
      </c>
      <c r="CT220" s="93">
        <f t="shared" si="178"/>
        <v>1347.4320241691842</v>
      </c>
      <c r="CU220" s="93">
        <f t="shared" si="179"/>
        <v>1725.4901960784314</v>
      </c>
      <c r="CV220" s="93">
        <f t="shared" si="180"/>
        <v>2405.8823529411761</v>
      </c>
      <c r="CW220" s="93">
        <f t="shared" si="181"/>
        <v>3425.196850393701</v>
      </c>
    </row>
    <row r="221" spans="1:101" s="98" customFormat="1">
      <c r="A221" s="3" t="s">
        <v>443</v>
      </c>
      <c r="B221" s="3" t="s">
        <v>268</v>
      </c>
      <c r="C221" s="3"/>
      <c r="D221" s="93">
        <v>5.6623999999999999</v>
      </c>
      <c r="E221" s="94">
        <v>0.1875</v>
      </c>
      <c r="F221" s="94">
        <v>2.5999999999999999E-3</v>
      </c>
      <c r="G221" s="95">
        <v>13.01</v>
      </c>
      <c r="H221" s="96">
        <v>0.36</v>
      </c>
      <c r="I221" s="97">
        <v>0.50449999999999995</v>
      </c>
      <c r="J221" s="95">
        <v>1.0999999999999999E-2</v>
      </c>
      <c r="K221" s="96">
        <v>0.40904000000000001</v>
      </c>
      <c r="M221" s="99">
        <v>2633</v>
      </c>
      <c r="N221" s="98">
        <v>48</v>
      </c>
      <c r="O221" s="99">
        <v>2722</v>
      </c>
      <c r="P221" s="98">
        <v>14</v>
      </c>
      <c r="Q221" s="93">
        <v>3.26</v>
      </c>
      <c r="R221" s="97">
        <v>1.0500000000000001E-2</v>
      </c>
      <c r="T221" s="98">
        <v>210</v>
      </c>
      <c r="U221" s="98">
        <v>110</v>
      </c>
      <c r="V221" s="98" t="s">
        <v>250</v>
      </c>
      <c r="W221" s="98" t="s">
        <v>250</v>
      </c>
      <c r="X221" s="98">
        <v>0.28999999999999998</v>
      </c>
      <c r="Y221" s="98">
        <v>0.2</v>
      </c>
      <c r="Z221" s="98">
        <v>2.02</v>
      </c>
      <c r="AA221" s="98">
        <v>0.37</v>
      </c>
      <c r="AB221" s="98">
        <v>0.89</v>
      </c>
      <c r="AC221" s="98">
        <v>0.45</v>
      </c>
      <c r="AD221" s="98">
        <v>2060</v>
      </c>
      <c r="AE221" s="98">
        <v>270</v>
      </c>
      <c r="AF221" s="95">
        <v>0.38400000000000001</v>
      </c>
      <c r="AG221" s="97">
        <v>6.0999999999999999E-2</v>
      </c>
      <c r="AH221" s="96">
        <v>3.58</v>
      </c>
      <c r="AI221" s="96">
        <v>0.72</v>
      </c>
      <c r="AJ221" s="95">
        <v>0.20300000000000001</v>
      </c>
      <c r="AK221" s="95">
        <v>7.6999999999999999E-2</v>
      </c>
      <c r="AL221" s="96">
        <v>3.3</v>
      </c>
      <c r="AM221" s="96">
        <v>1.1000000000000001</v>
      </c>
      <c r="AN221" s="96">
        <v>4.8</v>
      </c>
      <c r="AO221" s="96">
        <v>1.9</v>
      </c>
      <c r="AP221" s="96">
        <v>1.07</v>
      </c>
      <c r="AQ221" s="96">
        <v>0.42</v>
      </c>
      <c r="AR221" s="96">
        <v>38.200000000000003</v>
      </c>
      <c r="AS221" s="93">
        <v>5.3</v>
      </c>
      <c r="AT221" s="96">
        <v>14.7</v>
      </c>
      <c r="AU221" s="96">
        <v>1.4</v>
      </c>
      <c r="AV221" s="99">
        <v>190</v>
      </c>
      <c r="AW221" s="98">
        <v>22</v>
      </c>
      <c r="AX221" s="98">
        <v>66.400000000000006</v>
      </c>
      <c r="AY221" s="98">
        <v>5.9</v>
      </c>
      <c r="AZ221" s="98">
        <v>314</v>
      </c>
      <c r="BA221" s="98">
        <v>34</v>
      </c>
      <c r="BB221" s="98">
        <v>66.5</v>
      </c>
      <c r="BC221" s="98">
        <v>7.5</v>
      </c>
      <c r="BD221" s="98">
        <v>553</v>
      </c>
      <c r="BE221" s="98">
        <v>57</v>
      </c>
      <c r="BF221" s="98">
        <v>108</v>
      </c>
      <c r="BG221" s="98">
        <v>12</v>
      </c>
      <c r="BI221" s="93">
        <v>5.4</v>
      </c>
      <c r="BJ221" s="98">
        <v>2.5</v>
      </c>
      <c r="BK221" s="98">
        <v>470000</v>
      </c>
      <c r="BL221" s="98">
        <v>39000</v>
      </c>
      <c r="BM221" s="98">
        <v>8110</v>
      </c>
      <c r="BN221" s="98">
        <v>920</v>
      </c>
      <c r="BO221" s="99">
        <v>24.5</v>
      </c>
      <c r="BP221" s="98">
        <v>2.4</v>
      </c>
      <c r="BQ221" s="99">
        <v>38.1</v>
      </c>
      <c r="BR221" s="98">
        <v>3.7</v>
      </c>
      <c r="BT221" s="95">
        <f t="shared" si="159"/>
        <v>6.8896925858951172E-2</v>
      </c>
      <c r="BU221" s="96">
        <f t="shared" si="160"/>
        <v>1.084848484848485</v>
      </c>
      <c r="BV221" s="96">
        <f t="shared" si="161"/>
        <v>57.953144266337851</v>
      </c>
      <c r="BW221" s="96">
        <f t="shared" si="162"/>
        <v>0.64304461942257218</v>
      </c>
      <c r="BX221" s="99">
        <f>CK221/SQRT(CJ221*CL221)</f>
        <v>3.1437930463103441</v>
      </c>
      <c r="BY221" s="96">
        <f t="shared" si="163"/>
        <v>1.084848484848485</v>
      </c>
      <c r="BZ221" s="97">
        <f t="shared" si="164"/>
        <v>5.2662547808178886E-4</v>
      </c>
      <c r="CA221" s="95">
        <f t="shared" si="165"/>
        <v>0.24157673787876394</v>
      </c>
      <c r="CB221" s="99">
        <f t="shared" si="188"/>
        <v>62.352083250378051</v>
      </c>
      <c r="CC221" s="99">
        <f t="shared" si="188"/>
        <v>6.0551891870445873</v>
      </c>
      <c r="CD221" s="100">
        <f t="shared" si="166"/>
        <v>715.79289657681079</v>
      </c>
      <c r="CE221" s="100">
        <f t="shared" si="182"/>
        <v>753.02247674595503</v>
      </c>
      <c r="CF221" s="100">
        <f t="shared" si="186"/>
        <v>46.180949141038646</v>
      </c>
      <c r="CG221" s="96">
        <f t="shared" si="187"/>
        <v>-0.55185995630465046</v>
      </c>
      <c r="CH221" s="96">
        <f t="shared" si="168"/>
        <v>0.60906515792968319</v>
      </c>
      <c r="CJ221" s="95">
        <f>AF221/CJ$4</f>
        <v>1.6202531645569622</v>
      </c>
      <c r="CK221" s="93">
        <f t="shared" si="169"/>
        <v>5.8496732026143796</v>
      </c>
      <c r="CL221" s="93">
        <f t="shared" si="170"/>
        <v>2.1368421052631579</v>
      </c>
      <c r="CM221" s="93">
        <f t="shared" si="171"/>
        <v>7.0663811563169157</v>
      </c>
      <c r="CN221" s="93">
        <f t="shared" si="172"/>
        <v>31.372549019607842</v>
      </c>
      <c r="CO221" s="93">
        <f t="shared" si="173"/>
        <v>18.448275862068964</v>
      </c>
      <c r="CP221" s="93">
        <f t="shared" si="174"/>
        <v>185.88807785888079</v>
      </c>
      <c r="CQ221" s="93">
        <f t="shared" si="175"/>
        <v>393.04812834224595</v>
      </c>
      <c r="CR221" s="93">
        <f t="shared" si="176"/>
        <v>748.03149606299212</v>
      </c>
      <c r="CS221" s="93">
        <f t="shared" si="177"/>
        <v>1173.1448763250885</v>
      </c>
      <c r="CT221" s="93">
        <f t="shared" si="178"/>
        <v>1897.2809667673714</v>
      </c>
      <c r="CU221" s="93">
        <f t="shared" si="179"/>
        <v>2607.8431372549021</v>
      </c>
      <c r="CV221" s="93">
        <f t="shared" si="180"/>
        <v>3252.9411764705878</v>
      </c>
      <c r="CW221" s="93">
        <f t="shared" si="181"/>
        <v>4251.9685039370079</v>
      </c>
    </row>
    <row r="222" spans="1:101" s="98" customFormat="1">
      <c r="A222" s="3" t="s">
        <v>444</v>
      </c>
      <c r="B222" s="3" t="s">
        <v>268</v>
      </c>
      <c r="C222" s="3"/>
      <c r="D222" s="93">
        <v>5.2586000000000004</v>
      </c>
      <c r="E222" s="94">
        <v>0.1855</v>
      </c>
      <c r="F222" s="94">
        <v>2.0999999999999999E-3</v>
      </c>
      <c r="G222" s="95">
        <v>13.16</v>
      </c>
      <c r="H222" s="96">
        <v>0.36</v>
      </c>
      <c r="I222" s="97">
        <v>0.51590000000000003</v>
      </c>
      <c r="J222" s="95">
        <v>1.0999999999999999E-2</v>
      </c>
      <c r="K222" s="96">
        <v>0.60218000000000005</v>
      </c>
      <c r="M222" s="99">
        <v>2682</v>
      </c>
      <c r="N222" s="98">
        <v>48</v>
      </c>
      <c r="O222" s="99">
        <v>2702</v>
      </c>
      <c r="P222" s="98">
        <v>8.1</v>
      </c>
      <c r="Q222" s="93">
        <v>0.75</v>
      </c>
      <c r="R222" s="97">
        <v>2.2000000000000001E-3</v>
      </c>
      <c r="T222" s="98">
        <v>260</v>
      </c>
      <c r="U222" s="98">
        <v>160</v>
      </c>
      <c r="V222" s="98">
        <v>0.6</v>
      </c>
      <c r="W222" s="98">
        <v>2.2000000000000002</v>
      </c>
      <c r="X222" s="98">
        <v>0.39</v>
      </c>
      <c r="Y222" s="98">
        <v>0.23</v>
      </c>
      <c r="Z222" s="98">
        <v>2.36</v>
      </c>
      <c r="AA222" s="98">
        <v>0.53</v>
      </c>
      <c r="AB222" s="98">
        <v>0.66</v>
      </c>
      <c r="AC222" s="98">
        <v>0.3</v>
      </c>
      <c r="AD222" s="98">
        <v>2660</v>
      </c>
      <c r="AE222" s="98">
        <v>330</v>
      </c>
      <c r="AF222" s="95">
        <v>2.5000000000000001E-3</v>
      </c>
      <c r="AG222" s="97">
        <v>6.1999999999999998E-3</v>
      </c>
      <c r="AH222" s="96">
        <v>4.0999999999999996</v>
      </c>
      <c r="AI222" s="96">
        <v>1.1000000000000001</v>
      </c>
      <c r="AJ222" s="95">
        <v>0.121</v>
      </c>
      <c r="AK222" s="95">
        <v>6.4000000000000001E-2</v>
      </c>
      <c r="AL222" s="96">
        <v>3.4</v>
      </c>
      <c r="AM222" s="96">
        <v>1</v>
      </c>
      <c r="AN222" s="96">
        <v>8.1</v>
      </c>
      <c r="AO222" s="96">
        <v>2.1</v>
      </c>
      <c r="AP222" s="96">
        <v>1.55</v>
      </c>
      <c r="AQ222" s="96">
        <v>0.34</v>
      </c>
      <c r="AR222" s="96">
        <v>53</v>
      </c>
      <c r="AS222" s="93">
        <v>13</v>
      </c>
      <c r="AT222" s="96">
        <v>19.899999999999999</v>
      </c>
      <c r="AU222" s="96">
        <v>2.2999999999999998</v>
      </c>
      <c r="AV222" s="99">
        <v>250</v>
      </c>
      <c r="AW222" s="98">
        <v>37</v>
      </c>
      <c r="AX222" s="98">
        <v>94</v>
      </c>
      <c r="AY222" s="98">
        <v>15</v>
      </c>
      <c r="AZ222" s="98">
        <v>438</v>
      </c>
      <c r="BA222" s="98">
        <v>68</v>
      </c>
      <c r="BB222" s="98">
        <v>84</v>
      </c>
      <c r="BC222" s="98">
        <v>10</v>
      </c>
      <c r="BD222" s="98">
        <v>748</v>
      </c>
      <c r="BE222" s="98">
        <v>82</v>
      </c>
      <c r="BF222" s="98">
        <v>145</v>
      </c>
      <c r="BG222" s="98">
        <v>19</v>
      </c>
      <c r="BI222" s="93">
        <v>6.7</v>
      </c>
      <c r="BJ222" s="98">
        <v>4.4000000000000004</v>
      </c>
      <c r="BK222" s="98">
        <v>561000</v>
      </c>
      <c r="BL222" s="98">
        <v>63000</v>
      </c>
      <c r="BM222" s="98">
        <v>9200</v>
      </c>
      <c r="BN222" s="98">
        <v>1400</v>
      </c>
      <c r="BO222" s="99">
        <v>29.1</v>
      </c>
      <c r="BP222" s="98">
        <v>3.5</v>
      </c>
      <c r="BQ222" s="99">
        <v>47.2</v>
      </c>
      <c r="BR222" s="98">
        <v>5.5</v>
      </c>
      <c r="BT222" s="95">
        <f t="shared" si="159"/>
        <v>6.3101604278074874E-2</v>
      </c>
      <c r="BU222" s="96">
        <f t="shared" si="160"/>
        <v>1.2058823529411764</v>
      </c>
      <c r="BV222" s="96">
        <f t="shared" si="161"/>
        <v>60.978260869565219</v>
      </c>
      <c r="BW222" s="96">
        <f t="shared" si="162"/>
        <v>0.61652542372881358</v>
      </c>
      <c r="BX222" s="99">
        <f>CK222/SQRT(CJ222*CL222)</f>
        <v>57.797056444307806</v>
      </c>
      <c r="BY222" s="96">
        <f t="shared" si="163"/>
        <v>1.2058823529411764</v>
      </c>
      <c r="BZ222" s="97">
        <f t="shared" si="164"/>
        <v>4.5333923042901368E-4</v>
      </c>
      <c r="CA222" s="95">
        <f t="shared" si="165"/>
        <v>0.22870459426030781</v>
      </c>
      <c r="CB222" s="99">
        <f t="shared" si="188"/>
        <v>77.244575575271497</v>
      </c>
      <c r="CC222" s="99">
        <f t="shared" si="188"/>
        <v>9.0009568996608724</v>
      </c>
      <c r="CD222" s="100">
        <f t="shared" si="166"/>
        <v>735.25622964782951</v>
      </c>
      <c r="CE222" s="100">
        <f t="shared" si="182"/>
        <v>773.99435842418859</v>
      </c>
      <c r="CF222" s="100">
        <f t="shared" si="186"/>
        <v>67.026386480490544</v>
      </c>
      <c r="CG222" s="96">
        <f t="shared" si="187"/>
        <v>-0.68930828564543578</v>
      </c>
      <c r="CH222" s="96">
        <f t="shared" si="168"/>
        <v>0.85188812438008621</v>
      </c>
      <c r="CJ222" s="95">
        <f>AF222/CJ$4</f>
        <v>1.0548523206751056E-2</v>
      </c>
      <c r="CK222" s="93">
        <f t="shared" si="169"/>
        <v>6.6993464052287575</v>
      </c>
      <c r="CL222" s="93">
        <f t="shared" si="170"/>
        <v>1.2736842105263158</v>
      </c>
      <c r="CM222" s="93">
        <f t="shared" si="171"/>
        <v>7.2805139186295493</v>
      </c>
      <c r="CN222" s="93">
        <f t="shared" si="172"/>
        <v>52.941176470588232</v>
      </c>
      <c r="CO222" s="93">
        <f t="shared" si="173"/>
        <v>26.72413793103448</v>
      </c>
      <c r="CP222" s="93">
        <f t="shared" si="174"/>
        <v>257.90754257907543</v>
      </c>
      <c r="CQ222" s="93">
        <f t="shared" si="175"/>
        <v>532.08556149732613</v>
      </c>
      <c r="CR222" s="93">
        <f t="shared" si="176"/>
        <v>984.25196850393695</v>
      </c>
      <c r="CS222" s="93">
        <f t="shared" si="177"/>
        <v>1660.7773851590107</v>
      </c>
      <c r="CT222" s="93">
        <f t="shared" si="178"/>
        <v>2646.5256797583079</v>
      </c>
      <c r="CU222" s="93">
        <f t="shared" si="179"/>
        <v>3294.1176470588239</v>
      </c>
      <c r="CV222" s="93">
        <f t="shared" si="180"/>
        <v>4400</v>
      </c>
      <c r="CW222" s="93">
        <f t="shared" si="181"/>
        <v>5708.6614173228345</v>
      </c>
    </row>
    <row r="223" spans="1:101" s="107" customFormat="1">
      <c r="A223" s="101" t="s">
        <v>281</v>
      </c>
      <c r="B223" s="101"/>
      <c r="C223" s="101"/>
      <c r="D223" s="102"/>
      <c r="E223" s="103"/>
      <c r="F223" s="103"/>
      <c r="G223" s="104"/>
      <c r="H223" s="105"/>
      <c r="I223" s="106"/>
      <c r="J223" s="104"/>
      <c r="K223" s="105"/>
      <c r="M223" s="108"/>
      <c r="O223" s="108"/>
      <c r="R223" s="106"/>
      <c r="AF223" s="104"/>
      <c r="AG223" s="106"/>
      <c r="AH223" s="105"/>
      <c r="AI223" s="105"/>
      <c r="AJ223" s="104"/>
      <c r="AK223" s="104"/>
      <c r="AL223" s="105"/>
      <c r="AM223" s="105"/>
      <c r="AN223" s="105"/>
      <c r="AO223" s="105"/>
      <c r="AP223" s="105"/>
      <c r="AQ223" s="105"/>
      <c r="AR223" s="105"/>
      <c r="AS223" s="102"/>
      <c r="AT223" s="105"/>
      <c r="AU223" s="105"/>
      <c r="AV223" s="108"/>
      <c r="BI223" s="102"/>
      <c r="BO223" s="108"/>
      <c r="BQ223" s="108"/>
      <c r="BT223" s="95"/>
      <c r="BU223" s="96"/>
      <c r="BV223" s="96"/>
      <c r="BW223" s="96"/>
      <c r="BX223" s="108">
        <f>AVERAGE(BX177:BX222)</f>
        <v>55.402937131875859</v>
      </c>
      <c r="BY223" s="96"/>
      <c r="BZ223" s="97"/>
      <c r="CA223" s="104">
        <f>AVERAGE(CA177:CA222)</f>
        <v>0.19795076349101157</v>
      </c>
      <c r="CB223" s="99"/>
      <c r="CC223" s="99"/>
      <c r="CD223" s="109">
        <f>AVERAGE(CD177:CD222)</f>
        <v>695.61969376521563</v>
      </c>
      <c r="CE223" s="109">
        <f>AVERAGE(CE177:CE222)</f>
        <v>731.34975205193768</v>
      </c>
      <c r="CF223" s="100"/>
      <c r="CG223" s="105">
        <f>AVERAGE(CG177:CG222)</f>
        <v>-4.3337589823004424E-3</v>
      </c>
      <c r="CH223" s="105">
        <f>AVERAGE(CH177:CH222)</f>
        <v>0.74595239357174004</v>
      </c>
      <c r="CI223" s="108"/>
      <c r="CJ223" s="95"/>
      <c r="CK223" s="93"/>
      <c r="CL223" s="93"/>
      <c r="CM223" s="93"/>
      <c r="CN223" s="93"/>
      <c r="CO223" s="93"/>
      <c r="CP223" s="93"/>
      <c r="CQ223" s="93"/>
      <c r="CR223" s="93"/>
      <c r="CS223" s="93"/>
      <c r="CT223" s="93"/>
      <c r="CU223" s="93"/>
      <c r="CV223" s="93"/>
      <c r="CW223" s="93"/>
    </row>
    <row r="224" spans="1:101" s="107" customFormat="1">
      <c r="A224" s="101" t="s">
        <v>282</v>
      </c>
      <c r="B224" s="101"/>
      <c r="C224" s="101"/>
      <c r="D224" s="102"/>
      <c r="E224" s="103"/>
      <c r="F224" s="103"/>
      <c r="G224" s="104"/>
      <c r="H224" s="105"/>
      <c r="I224" s="106"/>
      <c r="J224" s="104"/>
      <c r="K224" s="105"/>
      <c r="M224" s="108"/>
      <c r="O224" s="108"/>
      <c r="R224" s="106"/>
      <c r="AF224" s="104"/>
      <c r="AG224" s="106"/>
      <c r="AH224" s="105"/>
      <c r="AI224" s="105"/>
      <c r="AJ224" s="104"/>
      <c r="AK224" s="104"/>
      <c r="AL224" s="105"/>
      <c r="AM224" s="105"/>
      <c r="AN224" s="105"/>
      <c r="AO224" s="105"/>
      <c r="AP224" s="105"/>
      <c r="AQ224" s="105"/>
      <c r="AR224" s="105"/>
      <c r="AS224" s="102"/>
      <c r="AT224" s="105"/>
      <c r="AU224" s="105"/>
      <c r="AV224" s="108"/>
      <c r="BI224" s="102"/>
      <c r="BO224" s="108"/>
      <c r="BQ224" s="108"/>
      <c r="BT224" s="95"/>
      <c r="BU224" s="96"/>
      <c r="BV224" s="96"/>
      <c r="BW224" s="96"/>
      <c r="BX224" s="108">
        <f>MEDIAN(BX177:BX222)</f>
        <v>31.715444272891215</v>
      </c>
      <c r="BY224" s="96"/>
      <c r="BZ224" s="97"/>
      <c r="CA224" s="104">
        <f>MEDIAN(CA177:CA222)</f>
        <v>0.20332505587641875</v>
      </c>
      <c r="CB224" s="99"/>
      <c r="CC224" s="99"/>
      <c r="CD224" s="109">
        <f>MEDIAN(CD177:CD222)</f>
        <v>699.91855402232056</v>
      </c>
      <c r="CE224" s="109">
        <f>MEDIAN(CE177:CE222)</f>
        <v>735.94075342292217</v>
      </c>
      <c r="CF224" s="100"/>
      <c r="CG224" s="105">
        <f>MEDIAN(CG177:CG222)</f>
        <v>7.4303909603350871E-2</v>
      </c>
      <c r="CH224" s="105">
        <f>MEDIAN(CH177:CH222)</f>
        <v>0.73244856764756994</v>
      </c>
      <c r="CJ224" s="95"/>
      <c r="CK224" s="93"/>
      <c r="CL224" s="93"/>
      <c r="CM224" s="93"/>
      <c r="CN224" s="93"/>
      <c r="CO224" s="93"/>
      <c r="CP224" s="93"/>
      <c r="CQ224" s="93"/>
      <c r="CR224" s="93"/>
      <c r="CS224" s="93"/>
      <c r="CT224" s="93"/>
      <c r="CU224" s="93"/>
      <c r="CV224" s="93"/>
      <c r="CW224" s="93"/>
    </row>
    <row r="225" spans="1:101" s="107" customFormat="1">
      <c r="A225" s="101" t="s">
        <v>204</v>
      </c>
      <c r="B225" s="101"/>
      <c r="C225" s="101"/>
      <c r="D225" s="102"/>
      <c r="E225" s="103"/>
      <c r="F225" s="103"/>
      <c r="G225" s="104"/>
      <c r="H225" s="105"/>
      <c r="I225" s="106"/>
      <c r="J225" s="104"/>
      <c r="K225" s="105"/>
      <c r="M225" s="108"/>
      <c r="O225" s="108"/>
      <c r="R225" s="106"/>
      <c r="AF225" s="104"/>
      <c r="AG225" s="106"/>
      <c r="AH225" s="105"/>
      <c r="AI225" s="105"/>
      <c r="AJ225" s="104"/>
      <c r="AK225" s="104"/>
      <c r="AL225" s="105"/>
      <c r="AM225" s="105"/>
      <c r="AN225" s="105"/>
      <c r="AO225" s="105"/>
      <c r="AP225" s="105"/>
      <c r="AQ225" s="105"/>
      <c r="AR225" s="105"/>
      <c r="AS225" s="102"/>
      <c r="AT225" s="105"/>
      <c r="AU225" s="105"/>
      <c r="AV225" s="108"/>
      <c r="BI225" s="102"/>
      <c r="BO225" s="108"/>
      <c r="BQ225" s="108"/>
      <c r="BT225" s="95"/>
      <c r="BU225" s="96"/>
      <c r="BV225" s="96"/>
      <c r="BW225" s="96"/>
      <c r="BX225" s="108">
        <f>_xlfn.STDEV.S(BX177:BX222)</f>
        <v>67.643628601242284</v>
      </c>
      <c r="BY225" s="96"/>
      <c r="BZ225" s="97"/>
      <c r="CA225" s="104">
        <f>_xlfn.STDEV.S(CA177:CA222)</f>
        <v>4.6882235350139544E-2</v>
      </c>
      <c r="CB225" s="99"/>
      <c r="CC225" s="99"/>
      <c r="CD225" s="109">
        <f>_xlfn.STDEV.S(CD177:CD222)</f>
        <v>27.990063352348091</v>
      </c>
      <c r="CE225" s="109">
        <f>_xlfn.STDEV.S(CE177:CE222)</f>
        <v>30.074401217703244</v>
      </c>
      <c r="CF225" s="100"/>
      <c r="CG225" s="105">
        <f>_xlfn.STDEV.S(CG177:CG222)</f>
        <v>0.56373892720512897</v>
      </c>
      <c r="CH225" s="105">
        <f>_xlfn.STDEV.S(CH177:CH222)</f>
        <v>0.18783438122631238</v>
      </c>
      <c r="CJ225" s="95"/>
      <c r="CK225" s="93"/>
      <c r="CL225" s="93"/>
      <c r="CM225" s="93"/>
      <c r="CN225" s="93"/>
      <c r="CO225" s="93"/>
      <c r="CP225" s="93"/>
      <c r="CQ225" s="93"/>
      <c r="CR225" s="93"/>
      <c r="CS225" s="93"/>
      <c r="CT225" s="93"/>
      <c r="CU225" s="93"/>
      <c r="CV225" s="93"/>
      <c r="CW225" s="93"/>
    </row>
    <row r="226" spans="1:101" s="107" customFormat="1">
      <c r="A226" s="101" t="s">
        <v>283</v>
      </c>
      <c r="B226" s="101"/>
      <c r="C226" s="101"/>
      <c r="D226" s="102"/>
      <c r="E226" s="103"/>
      <c r="F226" s="103"/>
      <c r="G226" s="104"/>
      <c r="H226" s="105"/>
      <c r="I226" s="106"/>
      <c r="J226" s="104"/>
      <c r="K226" s="105"/>
      <c r="M226" s="108"/>
      <c r="O226" s="108"/>
      <c r="R226" s="106"/>
      <c r="AF226" s="104"/>
      <c r="AG226" s="106"/>
      <c r="AH226" s="105"/>
      <c r="AI226" s="105"/>
      <c r="AJ226" s="104"/>
      <c r="AK226" s="104"/>
      <c r="AL226" s="105"/>
      <c r="AM226" s="105"/>
      <c r="AN226" s="105"/>
      <c r="AO226" s="105"/>
      <c r="AP226" s="105"/>
      <c r="AQ226" s="105"/>
      <c r="AR226" s="105"/>
      <c r="AS226" s="102"/>
      <c r="AT226" s="105"/>
      <c r="AU226" s="105"/>
      <c r="AV226" s="108"/>
      <c r="BI226" s="102"/>
      <c r="BO226" s="108"/>
      <c r="BQ226" s="108"/>
      <c r="BT226" s="95"/>
      <c r="BU226" s="96"/>
      <c r="BV226" s="96"/>
      <c r="BW226" s="96"/>
      <c r="BX226" s="105">
        <f>BX225/BX223</f>
        <v>1.2209393960509685</v>
      </c>
      <c r="BY226" s="96"/>
      <c r="BZ226" s="97"/>
      <c r="CA226" s="104">
        <f>CA225/CA223</f>
        <v>0.2368378607050351</v>
      </c>
      <c r="CB226" s="99"/>
      <c r="CC226" s="99"/>
      <c r="CD226" s="110">
        <f>CD225/CD223</f>
        <v>4.0237594770850822E-2</v>
      </c>
      <c r="CE226" s="110">
        <f>CE225/CE223</f>
        <v>4.1121776733121083E-2</v>
      </c>
      <c r="CF226" s="100"/>
      <c r="CG226" s="105">
        <f>CG225/CG223</f>
        <v>-130.08082117798935</v>
      </c>
      <c r="CH226" s="105">
        <f>CH225/CH223</f>
        <v>0.25180478385079125</v>
      </c>
      <c r="CJ226" s="95"/>
      <c r="CK226" s="93"/>
      <c r="CL226" s="93"/>
      <c r="CM226" s="93"/>
      <c r="CN226" s="93"/>
      <c r="CO226" s="93"/>
      <c r="CP226" s="93"/>
      <c r="CQ226" s="93"/>
      <c r="CR226" s="93"/>
      <c r="CS226" s="93"/>
      <c r="CT226" s="93"/>
      <c r="CU226" s="93"/>
      <c r="CV226" s="93"/>
      <c r="CW226" s="93"/>
    </row>
    <row r="227" spans="1:101" s="107" customFormat="1">
      <c r="A227" s="101"/>
      <c r="B227" s="101"/>
      <c r="C227" s="101"/>
      <c r="D227" s="102"/>
      <c r="E227" s="103"/>
      <c r="F227" s="103"/>
      <c r="G227" s="104"/>
      <c r="H227" s="105"/>
      <c r="I227" s="106"/>
      <c r="J227" s="104"/>
      <c r="K227" s="105"/>
      <c r="M227" s="108"/>
      <c r="O227" s="108"/>
      <c r="R227" s="106"/>
      <c r="AF227" s="104"/>
      <c r="AG227" s="106"/>
      <c r="AH227" s="105"/>
      <c r="AI227" s="105"/>
      <c r="AJ227" s="104"/>
      <c r="AK227" s="104"/>
      <c r="AL227" s="105"/>
      <c r="AM227" s="105"/>
      <c r="AN227" s="105"/>
      <c r="AO227" s="105"/>
      <c r="AP227" s="105"/>
      <c r="AQ227" s="105"/>
      <c r="AR227" s="105"/>
      <c r="AS227" s="102"/>
      <c r="AT227" s="105"/>
      <c r="AU227" s="105"/>
      <c r="AV227" s="108"/>
      <c r="BI227" s="102"/>
      <c r="BO227" s="108"/>
      <c r="BQ227" s="108"/>
      <c r="BT227" s="95"/>
      <c r="BU227" s="96"/>
      <c r="BV227" s="96"/>
      <c r="BW227" s="96"/>
      <c r="BX227" s="99"/>
      <c r="BY227" s="96"/>
      <c r="BZ227" s="97"/>
      <c r="CA227" s="95"/>
      <c r="CB227" s="99"/>
      <c r="CC227" s="99"/>
      <c r="CD227" s="110"/>
      <c r="CE227" s="110"/>
      <c r="CF227" s="100"/>
      <c r="CG227" s="105"/>
      <c r="CH227" s="96"/>
      <c r="CJ227" s="95"/>
      <c r="CK227" s="93"/>
      <c r="CL227" s="93"/>
      <c r="CM227" s="93"/>
      <c r="CN227" s="93"/>
      <c r="CO227" s="93"/>
      <c r="CP227" s="93"/>
      <c r="CQ227" s="93"/>
      <c r="CR227" s="93"/>
      <c r="CS227" s="93"/>
      <c r="CT227" s="93"/>
      <c r="CU227" s="93"/>
      <c r="CV227" s="93"/>
      <c r="CW227" s="93"/>
    </row>
    <row r="228" spans="1:101" s="98" customFormat="1">
      <c r="A228" s="3"/>
      <c r="B228" s="3"/>
      <c r="C228" s="3"/>
      <c r="D228" s="93"/>
      <c r="E228" s="94"/>
      <c r="F228" s="94"/>
      <c r="G228" s="95"/>
      <c r="H228" s="96"/>
      <c r="I228" s="97"/>
      <c r="J228" s="95"/>
      <c r="K228" s="96"/>
      <c r="M228" s="99"/>
      <c r="O228" s="99"/>
      <c r="R228" s="97"/>
      <c r="AF228" s="95"/>
      <c r="AG228" s="97"/>
      <c r="AH228" s="96"/>
      <c r="AI228" s="96"/>
      <c r="AJ228" s="95"/>
      <c r="AK228" s="95"/>
      <c r="AL228" s="96"/>
      <c r="AM228" s="96"/>
      <c r="AN228" s="96"/>
      <c r="AO228" s="96"/>
      <c r="AP228" s="96"/>
      <c r="AQ228" s="96"/>
      <c r="AR228" s="96"/>
      <c r="AS228" s="93"/>
      <c r="AT228" s="96"/>
      <c r="AU228" s="96"/>
      <c r="AV228" s="99"/>
      <c r="BI228" s="93"/>
      <c r="BO228" s="99"/>
      <c r="BQ228" s="99"/>
      <c r="BT228" s="95"/>
      <c r="BU228" s="96"/>
      <c r="BV228" s="96"/>
      <c r="BW228" s="96"/>
      <c r="BX228" s="99"/>
      <c r="BY228" s="96"/>
      <c r="BZ228" s="97"/>
      <c r="CA228" s="95"/>
      <c r="CB228" s="99"/>
      <c r="CC228" s="99"/>
      <c r="CD228" s="100"/>
      <c r="CE228" s="100"/>
      <c r="CF228" s="100"/>
      <c r="CG228" s="96"/>
      <c r="CH228" s="96"/>
      <c r="CJ228" s="95"/>
      <c r="CK228" s="93"/>
      <c r="CL228" s="93"/>
      <c r="CM228" s="93"/>
      <c r="CN228" s="93"/>
      <c r="CO228" s="93"/>
      <c r="CP228" s="93"/>
      <c r="CQ228" s="93"/>
      <c r="CR228" s="93"/>
      <c r="CS228" s="93"/>
      <c r="CT228" s="93"/>
      <c r="CU228" s="93"/>
      <c r="CV228" s="93"/>
      <c r="CW228" s="93"/>
    </row>
    <row r="229" spans="1:101" s="98" customFormat="1">
      <c r="A229" s="3" t="s">
        <v>445</v>
      </c>
      <c r="B229" s="92" t="s">
        <v>244</v>
      </c>
      <c r="C229" s="3"/>
      <c r="D229" s="93">
        <v>11.03</v>
      </c>
      <c r="E229" s="94">
        <v>0.1855</v>
      </c>
      <c r="F229" s="94">
        <v>1.2999999999999999E-3</v>
      </c>
      <c r="G229" s="95">
        <v>13.87</v>
      </c>
      <c r="H229" s="96">
        <v>0.43</v>
      </c>
      <c r="I229" s="97">
        <v>0.54430000000000001</v>
      </c>
      <c r="J229" s="95">
        <v>1.6E-2</v>
      </c>
      <c r="K229" s="96">
        <v>0.83291000000000004</v>
      </c>
      <c r="M229" s="99">
        <v>2801</v>
      </c>
      <c r="N229" s="98">
        <v>65</v>
      </c>
      <c r="O229" s="99">
        <v>2702.1</v>
      </c>
      <c r="P229" s="98">
        <v>6.7</v>
      </c>
      <c r="Q229" s="93">
        <v>-3.66</v>
      </c>
      <c r="R229" s="97">
        <v>1.2E-4</v>
      </c>
      <c r="T229" s="98">
        <v>310</v>
      </c>
      <c r="U229" s="98">
        <v>120</v>
      </c>
      <c r="V229" s="98" t="s">
        <v>250</v>
      </c>
      <c r="W229" s="98" t="s">
        <v>250</v>
      </c>
      <c r="X229" s="98">
        <v>0.35</v>
      </c>
      <c r="Y229" s="98">
        <v>0.24</v>
      </c>
      <c r="Z229" s="98">
        <v>3.93</v>
      </c>
      <c r="AA229" s="98">
        <v>0.94</v>
      </c>
      <c r="AB229" s="98">
        <v>0.99</v>
      </c>
      <c r="AC229" s="98">
        <v>0.33</v>
      </c>
      <c r="AD229" s="98">
        <v>1770</v>
      </c>
      <c r="AE229" s="98">
        <v>120</v>
      </c>
      <c r="AF229" s="95">
        <v>3.6999999999999998E-2</v>
      </c>
      <c r="AG229" s="97">
        <v>0.02</v>
      </c>
      <c r="AH229" s="96">
        <v>2.97</v>
      </c>
      <c r="AI229" s="96">
        <v>0.56999999999999995</v>
      </c>
      <c r="AJ229" s="95">
        <v>2.5000000000000001E-2</v>
      </c>
      <c r="AK229" s="95">
        <v>1.7000000000000001E-2</v>
      </c>
      <c r="AL229" s="96">
        <v>0.4</v>
      </c>
      <c r="AM229" s="96">
        <v>0.3</v>
      </c>
      <c r="AN229" s="96">
        <v>2.5099999999999998</v>
      </c>
      <c r="AO229" s="96">
        <v>0.8</v>
      </c>
      <c r="AP229" s="96">
        <v>0.69</v>
      </c>
      <c r="AQ229" s="96">
        <v>0.21</v>
      </c>
      <c r="AR229" s="96">
        <v>21.5</v>
      </c>
      <c r="AS229" s="93">
        <v>3.4</v>
      </c>
      <c r="AT229" s="96">
        <v>8.07</v>
      </c>
      <c r="AU229" s="96">
        <v>0.88</v>
      </c>
      <c r="AV229" s="99">
        <v>144</v>
      </c>
      <c r="AW229" s="98">
        <v>13</v>
      </c>
      <c r="AX229" s="98">
        <v>58.6</v>
      </c>
      <c r="AY229" s="98">
        <v>5.7</v>
      </c>
      <c r="AZ229" s="98">
        <v>331</v>
      </c>
      <c r="BA229" s="98">
        <v>22</v>
      </c>
      <c r="BB229" s="98">
        <v>69.7</v>
      </c>
      <c r="BC229" s="98">
        <v>5.4</v>
      </c>
      <c r="BD229" s="98">
        <v>653</v>
      </c>
      <c r="BE229" s="98">
        <v>49</v>
      </c>
      <c r="BF229" s="98">
        <v>140</v>
      </c>
      <c r="BG229" s="98">
        <v>13</v>
      </c>
      <c r="BI229" s="93">
        <v>6.5</v>
      </c>
      <c r="BJ229" s="98">
        <v>2.2000000000000002</v>
      </c>
      <c r="BK229" s="98">
        <v>526000</v>
      </c>
      <c r="BL229" s="98">
        <v>42000</v>
      </c>
      <c r="BM229" s="98">
        <v>7790</v>
      </c>
      <c r="BN229" s="98">
        <v>680</v>
      </c>
      <c r="BO229" s="99">
        <v>22.3</v>
      </c>
      <c r="BP229" s="98">
        <v>1.7</v>
      </c>
      <c r="BQ229" s="99">
        <v>54.5</v>
      </c>
      <c r="BR229" s="98">
        <v>4</v>
      </c>
      <c r="BT229" s="95">
        <f t="shared" ref="BT229:BT258" si="189">BQ229/BD229</f>
        <v>8.3460949464012252E-2</v>
      </c>
      <c r="BU229" s="96">
        <f t="shared" ref="BU229:BU258" si="190">AH229/AL229</f>
        <v>7.4249999999999998</v>
      </c>
      <c r="BV229" s="96">
        <f t="shared" ref="BV229:BV258" si="191">BK229/BM229</f>
        <v>67.522464698331191</v>
      </c>
      <c r="BW229" s="96">
        <f t="shared" ref="BW229:BW258" si="192">BO229/BQ229</f>
        <v>0.40917431192660553</v>
      </c>
      <c r="BX229" s="99">
        <f>CK229/SQRT(CJ229*CL229)</f>
        <v>23.942535302821017</v>
      </c>
      <c r="BY229" s="96">
        <f t="shared" ref="BY229:BY258" si="193">AH229/AL229</f>
        <v>7.4249999999999998</v>
      </c>
      <c r="BZ229" s="97">
        <f t="shared" ref="BZ229:BZ258" si="194">(AH229/AL229)/AD229</f>
        <v>4.1949152542372879E-3</v>
      </c>
      <c r="CA229" s="95">
        <f t="shared" ref="CA229:CA258" si="195">CO229/SQRT(CN229*CP229)</f>
        <v>0.28715516681117537</v>
      </c>
      <c r="CB229" s="99">
        <f t="shared" si="188"/>
        <v>89.191300187548649</v>
      </c>
      <c r="CC229" s="99">
        <f t="shared" si="188"/>
        <v>6.546150472480635</v>
      </c>
      <c r="CD229" s="100">
        <f t="shared" ref="CD229:CD258" si="196">4800/(5.711-LOG(BI229)-LOG(1)+LOG(0.75))-273.15</f>
        <v>732.47565706652176</v>
      </c>
      <c r="CE229" s="100">
        <f>4800/(5.711-LOG(BI229)-LOG(1)+LOG(0.5))-273.15</f>
        <v>770.99636752598542</v>
      </c>
      <c r="CF229" s="100">
        <f t="shared" si="186"/>
        <v>35.711975490810062</v>
      </c>
      <c r="CG229" s="96">
        <f>2.28+3.99*LOG(AH229/((CB229*BI229)^(1/2)))</f>
        <v>-1.3463572910627475</v>
      </c>
      <c r="CH229" s="96">
        <f t="shared" si="168"/>
        <v>0.46687467590356463</v>
      </c>
      <c r="CJ229" s="95">
        <f>AF229/CJ$4</f>
        <v>0.15611814345991562</v>
      </c>
      <c r="CK229" s="93">
        <f t="shared" ref="CK229:CK259" si="197">AH229/CK$4</f>
        <v>4.8529411764705888</v>
      </c>
      <c r="CL229" s="93">
        <f t="shared" ref="CL229:CL259" si="198">AJ229/CL$4</f>
        <v>0.26315789473684209</v>
      </c>
      <c r="CM229" s="93">
        <f t="shared" ref="CM229:CM259" si="199">AL229/CM$4</f>
        <v>0.85653104925053536</v>
      </c>
      <c r="CN229" s="93">
        <f t="shared" ref="CN229:CN259" si="200">AN229/CN$4</f>
        <v>16.405228758169933</v>
      </c>
      <c r="CO229" s="93">
        <f t="shared" ref="CO229:CO259" si="201">AP229/CO$4</f>
        <v>11.896551724137929</v>
      </c>
      <c r="CP229" s="93">
        <f t="shared" ref="CP229:CP259" si="202">AR229/CP$4</f>
        <v>104.62287104622871</v>
      </c>
      <c r="CQ229" s="93">
        <f t="shared" ref="CQ229:CQ259" si="203">AT229/CQ$4</f>
        <v>215.77540106951872</v>
      </c>
      <c r="CR229" s="93">
        <f t="shared" ref="CR229:CR259" si="204">AV229/CR$4</f>
        <v>566.92913385826773</v>
      </c>
      <c r="CS229" s="93">
        <f t="shared" ref="CS229:CS259" si="205">AX229/CS$4</f>
        <v>1035.3356890459365</v>
      </c>
      <c r="CT229" s="93">
        <f t="shared" ref="CT229:CT259" si="206">AZ229/CT$4</f>
        <v>2000</v>
      </c>
      <c r="CU229" s="93">
        <f t="shared" ref="CU229:CU259" si="207">BB229/CU$4</f>
        <v>2733.3333333333335</v>
      </c>
      <c r="CV229" s="93">
        <f t="shared" ref="CV229:CV259" si="208">BD229/CV$4</f>
        <v>3841.1764705882351</v>
      </c>
      <c r="CW229" s="93">
        <f t="shared" ref="CW229:CW259" si="209">BF229/CW$4</f>
        <v>5511.8110236220473</v>
      </c>
    </row>
    <row r="230" spans="1:101" s="98" customFormat="1">
      <c r="A230" s="3" t="s">
        <v>446</v>
      </c>
      <c r="B230" s="92" t="s">
        <v>244</v>
      </c>
      <c r="C230" s="3"/>
      <c r="D230" s="93">
        <v>11.016</v>
      </c>
      <c r="E230" s="94">
        <v>0.18534999999999999</v>
      </c>
      <c r="F230" s="94">
        <v>8.8000000000000003E-4</v>
      </c>
      <c r="G230" s="95">
        <v>13.760999999999999</v>
      </c>
      <c r="H230" s="96">
        <v>0.41</v>
      </c>
      <c r="I230" s="97">
        <v>0.53959999999999997</v>
      </c>
      <c r="J230" s="95">
        <v>1.4999999999999999E-2</v>
      </c>
      <c r="K230" s="96">
        <v>0.64288000000000001</v>
      </c>
      <c r="M230" s="99">
        <v>2782</v>
      </c>
      <c r="N230" s="98">
        <v>62</v>
      </c>
      <c r="O230" s="99">
        <v>2704</v>
      </c>
      <c r="P230" s="98">
        <v>5.2</v>
      </c>
      <c r="Q230" s="93">
        <v>-2.88</v>
      </c>
      <c r="R230" s="97">
        <v>0</v>
      </c>
      <c r="T230" s="98">
        <v>530</v>
      </c>
      <c r="U230" s="98">
        <v>140</v>
      </c>
      <c r="V230" s="98">
        <v>0.01</v>
      </c>
      <c r="W230" s="98">
        <v>0.91</v>
      </c>
      <c r="X230" s="98">
        <v>0.36</v>
      </c>
      <c r="Y230" s="98">
        <v>0.2</v>
      </c>
      <c r="Z230" s="98">
        <v>4.8600000000000003</v>
      </c>
      <c r="AA230" s="98">
        <v>0.8</v>
      </c>
      <c r="AB230" s="98">
        <v>1.1200000000000001</v>
      </c>
      <c r="AC230" s="98">
        <v>0.46</v>
      </c>
      <c r="AD230" s="98">
        <v>1930</v>
      </c>
      <c r="AE230" s="98">
        <v>210</v>
      </c>
      <c r="AF230" s="95">
        <v>1.0999999999999999E-2</v>
      </c>
      <c r="AG230" s="97">
        <v>0.01</v>
      </c>
      <c r="AH230" s="96">
        <v>3.08</v>
      </c>
      <c r="AI230" s="96">
        <v>0.57999999999999996</v>
      </c>
      <c r="AJ230" s="95">
        <v>4.3999999999999997E-2</v>
      </c>
      <c r="AK230" s="95">
        <v>2.8000000000000001E-2</v>
      </c>
      <c r="AL230" s="96">
        <v>0.62</v>
      </c>
      <c r="AM230" s="96">
        <v>0.37</v>
      </c>
      <c r="AN230" s="96">
        <v>3.52</v>
      </c>
      <c r="AO230" s="96">
        <v>0.89</v>
      </c>
      <c r="AP230" s="96">
        <v>0.7</v>
      </c>
      <c r="AQ230" s="96">
        <v>0.23</v>
      </c>
      <c r="AR230" s="96">
        <v>29</v>
      </c>
      <c r="AS230" s="93">
        <v>3.9</v>
      </c>
      <c r="AT230" s="96">
        <v>11.5</v>
      </c>
      <c r="AU230" s="96">
        <v>1.4</v>
      </c>
      <c r="AV230" s="99">
        <v>165</v>
      </c>
      <c r="AW230" s="98">
        <v>18</v>
      </c>
      <c r="AX230" s="98">
        <v>68.2</v>
      </c>
      <c r="AY230" s="98">
        <v>6.3</v>
      </c>
      <c r="AZ230" s="98">
        <v>330</v>
      </c>
      <c r="BA230" s="98">
        <v>33</v>
      </c>
      <c r="BB230" s="98">
        <v>71.5</v>
      </c>
      <c r="BC230" s="98">
        <v>8.1999999999999993</v>
      </c>
      <c r="BD230" s="98">
        <v>682</v>
      </c>
      <c r="BE230" s="98">
        <v>79</v>
      </c>
      <c r="BF230" s="98">
        <v>137</v>
      </c>
      <c r="BG230" s="98">
        <v>14</v>
      </c>
      <c r="BI230" s="93">
        <v>1.9</v>
      </c>
      <c r="BJ230" s="98">
        <v>1.7</v>
      </c>
      <c r="BK230" s="98">
        <v>488000</v>
      </c>
      <c r="BL230" s="98">
        <v>57000</v>
      </c>
      <c r="BM230" s="98">
        <v>8900</v>
      </c>
      <c r="BN230" s="98">
        <v>1000</v>
      </c>
      <c r="BO230" s="99">
        <v>23.5</v>
      </c>
      <c r="BP230" s="98">
        <v>2.2000000000000002</v>
      </c>
      <c r="BQ230" s="99">
        <v>69.7</v>
      </c>
      <c r="BR230" s="98">
        <v>7.3</v>
      </c>
      <c r="BT230" s="95">
        <f t="shared" si="189"/>
        <v>0.10219941348973607</v>
      </c>
      <c r="BU230" s="96">
        <f t="shared" si="190"/>
        <v>4.967741935483871</v>
      </c>
      <c r="BV230" s="96">
        <f t="shared" si="191"/>
        <v>54.831460674157306</v>
      </c>
      <c r="BW230" s="96">
        <f t="shared" si="192"/>
        <v>0.33715925394548063</v>
      </c>
      <c r="BX230" s="99">
        <f>CK230/SQRT(CJ230*CL230)</f>
        <v>34.325161493009901</v>
      </c>
      <c r="BY230" s="96">
        <f t="shared" si="193"/>
        <v>4.967741935483871</v>
      </c>
      <c r="BZ230" s="97">
        <f t="shared" si="194"/>
        <v>2.5739595520641819E-3</v>
      </c>
      <c r="CA230" s="95">
        <f t="shared" si="195"/>
        <v>0.21181238201958869</v>
      </c>
      <c r="CB230" s="99">
        <f t="shared" si="188"/>
        <v>114.06667198297507</v>
      </c>
      <c r="CC230" s="99">
        <f t="shared" si="188"/>
        <v>11.946724612277158</v>
      </c>
      <c r="CD230" s="100">
        <f t="shared" si="196"/>
        <v>631.26336837711267</v>
      </c>
      <c r="CE230" s="100">
        <f t="shared" ref="CE230:CE258" si="210">4800/(5.711-LOG(BI230)-LOG(1)+LOG(0.5))-273.15</f>
        <v>662.30070460002275</v>
      </c>
      <c r="CF230" s="100">
        <f t="shared" si="186"/>
        <v>73.432321432850102</v>
      </c>
      <c r="CG230" s="96">
        <f>2.28+3.99*LOG(AH230/((CB230*BI230)^(1/2)))</f>
        <v>-0.43082782266367614</v>
      </c>
      <c r="CH230" s="96">
        <f t="shared" si="168"/>
        <v>0.97233424823305736</v>
      </c>
      <c r="CJ230" s="95">
        <f>AF230/CJ$4</f>
        <v>4.6413502109704644E-2</v>
      </c>
      <c r="CK230" s="93">
        <f t="shared" si="197"/>
        <v>5.0326797385620914</v>
      </c>
      <c r="CL230" s="93">
        <f t="shared" si="198"/>
        <v>0.46315789473684205</v>
      </c>
      <c r="CM230" s="93">
        <f t="shared" si="199"/>
        <v>1.3276231263383296</v>
      </c>
      <c r="CN230" s="93">
        <f t="shared" si="200"/>
        <v>23.006535947712418</v>
      </c>
      <c r="CO230" s="93">
        <f t="shared" si="201"/>
        <v>12.068965517241377</v>
      </c>
      <c r="CP230" s="93">
        <f t="shared" si="202"/>
        <v>141.11922141119223</v>
      </c>
      <c r="CQ230" s="93">
        <f t="shared" si="203"/>
        <v>307.48663101604274</v>
      </c>
      <c r="CR230" s="93">
        <f t="shared" si="204"/>
        <v>649.6062992125984</v>
      </c>
      <c r="CS230" s="93">
        <f t="shared" si="205"/>
        <v>1204.9469964664313</v>
      </c>
      <c r="CT230" s="93">
        <f t="shared" si="206"/>
        <v>1993.9577039274923</v>
      </c>
      <c r="CU230" s="93">
        <f t="shared" si="207"/>
        <v>2803.9215686274511</v>
      </c>
      <c r="CV230" s="93">
        <f t="shared" si="208"/>
        <v>4011.7647058823527</v>
      </c>
      <c r="CW230" s="93">
        <f t="shared" si="209"/>
        <v>5393.7007874015753</v>
      </c>
    </row>
    <row r="231" spans="1:101" s="98" customFormat="1">
      <c r="A231" s="3" t="s">
        <v>447</v>
      </c>
      <c r="B231" s="92" t="s">
        <v>244</v>
      </c>
      <c r="C231" s="3"/>
      <c r="D231" s="93">
        <v>11.02</v>
      </c>
      <c r="E231" s="94">
        <v>0.18029999999999999</v>
      </c>
      <c r="F231" s="94">
        <v>9.7000000000000005E-4</v>
      </c>
      <c r="G231" s="95">
        <v>13.44</v>
      </c>
      <c r="H231" s="96">
        <v>0.41</v>
      </c>
      <c r="I231" s="97">
        <v>0.54249999999999998</v>
      </c>
      <c r="J231" s="95">
        <v>1.4999999999999999E-2</v>
      </c>
      <c r="K231" s="96">
        <v>0.82199999999999995</v>
      </c>
      <c r="M231" s="99">
        <v>2794</v>
      </c>
      <c r="N231" s="98">
        <v>64</v>
      </c>
      <c r="O231" s="99">
        <v>2655.8</v>
      </c>
      <c r="P231" s="98">
        <v>5.7</v>
      </c>
      <c r="Q231" s="93">
        <v>-5.21</v>
      </c>
      <c r="R231" s="97">
        <v>0</v>
      </c>
      <c r="T231" s="98">
        <v>448</v>
      </c>
      <c r="U231" s="98">
        <v>99</v>
      </c>
      <c r="V231" s="98">
        <v>0.5</v>
      </c>
      <c r="W231" s="98">
        <v>1.1000000000000001</v>
      </c>
      <c r="X231" s="98">
        <v>0.59</v>
      </c>
      <c r="Y231" s="98">
        <v>0.34</v>
      </c>
      <c r="Z231" s="98">
        <v>5.6</v>
      </c>
      <c r="AA231" s="98">
        <v>1.1000000000000001</v>
      </c>
      <c r="AB231" s="98">
        <v>2.41</v>
      </c>
      <c r="AC231" s="98">
        <v>0.51</v>
      </c>
      <c r="AD231" s="98">
        <v>1460</v>
      </c>
      <c r="AE231" s="98">
        <v>170</v>
      </c>
      <c r="AF231" s="95">
        <v>1.4E-3</v>
      </c>
      <c r="AG231" s="97">
        <v>4.7999999999999996E-3</v>
      </c>
      <c r="AH231" s="96">
        <v>4.17</v>
      </c>
      <c r="AI231" s="96">
        <v>0.87</v>
      </c>
      <c r="AJ231" s="95">
        <v>3.3000000000000002E-2</v>
      </c>
      <c r="AK231" s="95">
        <v>1.6E-2</v>
      </c>
      <c r="AL231" s="96">
        <v>0.8</v>
      </c>
      <c r="AM231" s="96">
        <v>0.54</v>
      </c>
      <c r="AN231" s="96">
        <v>2.78</v>
      </c>
      <c r="AO231" s="96">
        <v>0.71</v>
      </c>
      <c r="AP231" s="96">
        <v>0.4</v>
      </c>
      <c r="AQ231" s="96">
        <v>0.19</v>
      </c>
      <c r="AR231" s="96">
        <v>20.399999999999999</v>
      </c>
      <c r="AS231" s="93">
        <v>3</v>
      </c>
      <c r="AT231" s="96">
        <v>8.8000000000000007</v>
      </c>
      <c r="AU231" s="96">
        <v>0.9</v>
      </c>
      <c r="AV231" s="99">
        <v>122.9</v>
      </c>
      <c r="AW231" s="98">
        <v>6</v>
      </c>
      <c r="AX231" s="98">
        <v>51.1</v>
      </c>
      <c r="AY231" s="98">
        <v>3.8</v>
      </c>
      <c r="AZ231" s="98">
        <v>281</v>
      </c>
      <c r="BA231" s="98">
        <v>17</v>
      </c>
      <c r="BB231" s="98">
        <v>60.1</v>
      </c>
      <c r="BC231" s="98">
        <v>5.9</v>
      </c>
      <c r="BD231" s="98">
        <v>533</v>
      </c>
      <c r="BE231" s="98">
        <v>51</v>
      </c>
      <c r="BF231" s="98">
        <v>112</v>
      </c>
      <c r="BG231" s="98">
        <v>11</v>
      </c>
      <c r="BI231" s="93">
        <v>2.2000000000000002</v>
      </c>
      <c r="BJ231" s="98">
        <v>2.2999999999999998</v>
      </c>
      <c r="BK231" s="98">
        <v>483000</v>
      </c>
      <c r="BL231" s="98">
        <v>43000</v>
      </c>
      <c r="BM231" s="98">
        <v>8740</v>
      </c>
      <c r="BN231" s="98">
        <v>850</v>
      </c>
      <c r="BO231" s="99">
        <v>34.6</v>
      </c>
      <c r="BP231" s="98">
        <v>2.9</v>
      </c>
      <c r="BQ231" s="99">
        <v>93.4</v>
      </c>
      <c r="BR231" s="98">
        <v>8.9</v>
      </c>
      <c r="BT231" s="95">
        <f t="shared" si="189"/>
        <v>0.17523452157598501</v>
      </c>
      <c r="BU231" s="96">
        <f t="shared" si="190"/>
        <v>5.2124999999999995</v>
      </c>
      <c r="BV231" s="96">
        <f t="shared" si="191"/>
        <v>55.263157894736842</v>
      </c>
      <c r="BW231" s="96">
        <f t="shared" si="192"/>
        <v>0.3704496788008565</v>
      </c>
      <c r="BX231" s="99">
        <f>CK231/SQRT(CJ231*CL231)</f>
        <v>150.41793447776632</v>
      </c>
      <c r="BY231" s="96">
        <f t="shared" si="193"/>
        <v>5.2124999999999995</v>
      </c>
      <c r="BZ231" s="97">
        <f t="shared" si="194"/>
        <v>3.5702054794520544E-3</v>
      </c>
      <c r="CA231" s="95">
        <f t="shared" si="195"/>
        <v>0.16238508785353617</v>
      </c>
      <c r="CB231" s="99">
        <f t="shared" si="188"/>
        <v>152.85261353242282</v>
      </c>
      <c r="CC231" s="99">
        <f t="shared" si="188"/>
        <v>14.565184801269414</v>
      </c>
      <c r="CD231" s="100">
        <f t="shared" si="196"/>
        <v>642.24489696253977</v>
      </c>
      <c r="CE231" s="100">
        <f t="shared" si="210"/>
        <v>674.05378391487886</v>
      </c>
      <c r="CF231" s="100">
        <f t="shared" si="186"/>
        <v>87.628880343163871</v>
      </c>
      <c r="CG231" s="96">
        <f>2.28+3.99*LOG(AH231/((CB231*BI231)^(1/2)))</f>
        <v>-0.28641476226807194</v>
      </c>
      <c r="CH231" s="96">
        <f t="shared" si="168"/>
        <v>1.125148538173494</v>
      </c>
      <c r="CJ231" s="95">
        <f>AF231/CJ$4</f>
        <v>5.9071729957805913E-3</v>
      </c>
      <c r="CK231" s="93">
        <f t="shared" si="197"/>
        <v>6.8137254901960782</v>
      </c>
      <c r="CL231" s="93">
        <f t="shared" si="198"/>
        <v>0.3473684210526316</v>
      </c>
      <c r="CM231" s="93">
        <f t="shared" si="199"/>
        <v>1.7130620985010707</v>
      </c>
      <c r="CN231" s="93">
        <f t="shared" si="200"/>
        <v>18.169934640522875</v>
      </c>
      <c r="CO231" s="93">
        <f t="shared" si="201"/>
        <v>6.8965517241379315</v>
      </c>
      <c r="CP231" s="93">
        <f t="shared" si="202"/>
        <v>99.270072992700733</v>
      </c>
      <c r="CQ231" s="93">
        <f t="shared" si="203"/>
        <v>235.29411764705881</v>
      </c>
      <c r="CR231" s="93">
        <f t="shared" si="204"/>
        <v>483.85826771653547</v>
      </c>
      <c r="CS231" s="93">
        <f t="shared" si="205"/>
        <v>902.82685512367493</v>
      </c>
      <c r="CT231" s="93">
        <f t="shared" si="206"/>
        <v>1697.8851963746222</v>
      </c>
      <c r="CU231" s="93">
        <f t="shared" si="207"/>
        <v>2356.8627450980393</v>
      </c>
      <c r="CV231" s="93">
        <f t="shared" si="208"/>
        <v>3135.2941176470586</v>
      </c>
      <c r="CW231" s="93">
        <f t="shared" si="209"/>
        <v>4409.4488188976384</v>
      </c>
    </row>
    <row r="232" spans="1:101" s="118" customFormat="1">
      <c r="A232" s="111" t="s">
        <v>448</v>
      </c>
      <c r="B232" s="112" t="s">
        <v>244</v>
      </c>
      <c r="C232" s="111"/>
      <c r="D232" s="113">
        <v>11.012</v>
      </c>
      <c r="E232" s="114">
        <v>0.18396999999999999</v>
      </c>
      <c r="F232" s="114">
        <v>1E-3</v>
      </c>
      <c r="G232" s="115">
        <v>12.849</v>
      </c>
      <c r="H232" s="116">
        <v>0.38</v>
      </c>
      <c r="I232" s="117">
        <v>0.50829999999999997</v>
      </c>
      <c r="J232" s="115">
        <v>1.4E-2</v>
      </c>
      <c r="K232" s="116">
        <v>0.4032</v>
      </c>
      <c r="M232" s="119">
        <v>2649.3</v>
      </c>
      <c r="N232" s="118">
        <v>58</v>
      </c>
      <c r="O232" s="119">
        <v>2689.7</v>
      </c>
      <c r="P232" s="118">
        <v>4.3</v>
      </c>
      <c r="Q232" s="113">
        <v>1.5</v>
      </c>
      <c r="R232" s="117">
        <v>4.3E-3</v>
      </c>
      <c r="T232" s="118">
        <v>800</v>
      </c>
      <c r="U232" s="118">
        <v>120</v>
      </c>
      <c r="V232" s="118">
        <v>0.8</v>
      </c>
      <c r="W232" s="118">
        <v>1.2</v>
      </c>
      <c r="X232" s="118">
        <v>0.94</v>
      </c>
      <c r="Y232" s="118">
        <v>0.35</v>
      </c>
      <c r="Z232" s="118">
        <v>9.4</v>
      </c>
      <c r="AA232" s="118">
        <v>1.6</v>
      </c>
      <c r="AB232" s="118">
        <v>3.24</v>
      </c>
      <c r="AC232" s="118">
        <v>0.6</v>
      </c>
      <c r="AD232" s="118">
        <v>2010</v>
      </c>
      <c r="AE232" s="118">
        <v>190</v>
      </c>
      <c r="AF232" s="115">
        <v>2.2599999999999998</v>
      </c>
      <c r="AG232" s="117">
        <v>0.39</v>
      </c>
      <c r="AH232" s="116">
        <v>14</v>
      </c>
      <c r="AI232" s="116">
        <v>2.6</v>
      </c>
      <c r="AJ232" s="115">
        <v>1.37</v>
      </c>
      <c r="AK232" s="115">
        <v>0.27</v>
      </c>
      <c r="AL232" s="116">
        <v>8</v>
      </c>
      <c r="AM232" s="116">
        <v>2.2999999999999998</v>
      </c>
      <c r="AN232" s="116">
        <v>6.3</v>
      </c>
      <c r="AO232" s="116">
        <v>2.2000000000000002</v>
      </c>
      <c r="AP232" s="116">
        <v>0.56000000000000005</v>
      </c>
      <c r="AQ232" s="116">
        <v>0.2</v>
      </c>
      <c r="AR232" s="116">
        <v>25.5</v>
      </c>
      <c r="AS232" s="113">
        <v>4.4000000000000004</v>
      </c>
      <c r="AT232" s="116">
        <v>10.46</v>
      </c>
      <c r="AU232" s="116">
        <v>0.98</v>
      </c>
      <c r="AV232" s="119">
        <v>162</v>
      </c>
      <c r="AW232" s="118">
        <v>14</v>
      </c>
      <c r="AX232" s="118">
        <v>60.8</v>
      </c>
      <c r="AY232" s="118">
        <v>4.3</v>
      </c>
      <c r="AZ232" s="118">
        <v>362</v>
      </c>
      <c r="BA232" s="118">
        <v>32</v>
      </c>
      <c r="BB232" s="118">
        <v>75.7</v>
      </c>
      <c r="BC232" s="118">
        <v>7.4</v>
      </c>
      <c r="BD232" s="118">
        <v>695</v>
      </c>
      <c r="BE232" s="118">
        <v>57</v>
      </c>
      <c r="BF232" s="118">
        <v>140</v>
      </c>
      <c r="BG232" s="118">
        <v>13</v>
      </c>
      <c r="BI232" s="113">
        <v>1.6</v>
      </c>
      <c r="BJ232" s="118">
        <v>2.1</v>
      </c>
      <c r="BK232" s="118">
        <v>550000</v>
      </c>
      <c r="BL232" s="118">
        <v>46000</v>
      </c>
      <c r="BM232" s="118">
        <v>10890</v>
      </c>
      <c r="BN232" s="118">
        <v>920</v>
      </c>
      <c r="BO232" s="119">
        <v>34.4</v>
      </c>
      <c r="BP232" s="118">
        <v>2.8</v>
      </c>
      <c r="BQ232" s="119">
        <v>97.2</v>
      </c>
      <c r="BR232" s="118">
        <v>7.4</v>
      </c>
      <c r="BT232" s="115"/>
      <c r="BU232" s="116"/>
      <c r="BV232" s="116"/>
      <c r="BW232" s="116"/>
      <c r="BX232" s="119"/>
      <c r="BY232" s="116"/>
      <c r="BZ232" s="117"/>
      <c r="CA232" s="115"/>
      <c r="CB232" s="99"/>
      <c r="CC232" s="99"/>
      <c r="CD232" s="120"/>
      <c r="CE232" s="100"/>
      <c r="CF232" s="100"/>
      <c r="CG232" s="116"/>
      <c r="CH232" s="96"/>
      <c r="CJ232" s="115">
        <f>AF232/CJ$4</f>
        <v>9.5358649789029535</v>
      </c>
      <c r="CK232" s="113">
        <f t="shared" si="197"/>
        <v>22.875816993464053</v>
      </c>
      <c r="CL232" s="113">
        <f t="shared" si="198"/>
        <v>14.421052631578949</v>
      </c>
      <c r="CM232" s="113">
        <f t="shared" si="199"/>
        <v>17.130620985010705</v>
      </c>
      <c r="CN232" s="113">
        <f t="shared" si="200"/>
        <v>41.176470588235297</v>
      </c>
      <c r="CO232" s="113">
        <f t="shared" si="201"/>
        <v>9.6551724137931032</v>
      </c>
      <c r="CP232" s="113">
        <f t="shared" si="202"/>
        <v>124.08759124087592</v>
      </c>
      <c r="CQ232" s="113">
        <f t="shared" si="203"/>
        <v>279.67914438502675</v>
      </c>
      <c r="CR232" s="113">
        <f t="shared" si="204"/>
        <v>637.79527559055123</v>
      </c>
      <c r="CS232" s="113">
        <f t="shared" si="205"/>
        <v>1074.2049469964663</v>
      </c>
      <c r="CT232" s="113">
        <f t="shared" si="206"/>
        <v>2187.311178247734</v>
      </c>
      <c r="CU232" s="113">
        <f t="shared" si="207"/>
        <v>2968.6274509803925</v>
      </c>
      <c r="CV232" s="113">
        <f t="shared" si="208"/>
        <v>4088.2352941176468</v>
      </c>
      <c r="CW232" s="113">
        <f t="shared" si="209"/>
        <v>5511.8110236220473</v>
      </c>
    </row>
    <row r="233" spans="1:101" s="98" customFormat="1">
      <c r="A233" s="3" t="s">
        <v>449</v>
      </c>
      <c r="B233" s="92" t="s">
        <v>244</v>
      </c>
      <c r="C233" s="3"/>
      <c r="D233" s="93">
        <v>7.5891999999999999</v>
      </c>
      <c r="E233" s="94">
        <v>0.18459999999999999</v>
      </c>
      <c r="F233" s="94">
        <v>1.1999999999999999E-3</v>
      </c>
      <c r="G233" s="95">
        <v>12.961</v>
      </c>
      <c r="H233" s="96">
        <v>0.39</v>
      </c>
      <c r="I233" s="97">
        <v>0.51100000000000001</v>
      </c>
      <c r="J233" s="95">
        <v>1.4E-2</v>
      </c>
      <c r="K233" s="96">
        <v>0.45528999999999997</v>
      </c>
      <c r="M233" s="99">
        <v>2660.7</v>
      </c>
      <c r="N233" s="98">
        <v>59</v>
      </c>
      <c r="O233" s="99">
        <v>2694.4</v>
      </c>
      <c r="P233" s="98">
        <v>5.6</v>
      </c>
      <c r="Q233" s="93">
        <v>1.25</v>
      </c>
      <c r="R233" s="97">
        <v>3.7000000000000002E-3</v>
      </c>
      <c r="T233" s="98">
        <v>500</v>
      </c>
      <c r="U233" s="98">
        <v>120</v>
      </c>
      <c r="V233" s="98">
        <v>0.5</v>
      </c>
      <c r="W233" s="98">
        <v>1.3</v>
      </c>
      <c r="X233" s="98">
        <v>0.42</v>
      </c>
      <c r="Y233" s="98">
        <v>0.21</v>
      </c>
      <c r="Z233" s="98">
        <v>4.8</v>
      </c>
      <c r="AA233" s="98">
        <v>1.4</v>
      </c>
      <c r="AB233" s="98">
        <v>1.1299999999999999</v>
      </c>
      <c r="AC233" s="98">
        <v>0.51</v>
      </c>
      <c r="AD233" s="98">
        <v>1720</v>
      </c>
      <c r="AE233" s="98">
        <v>220</v>
      </c>
      <c r="AF233" s="95" t="s">
        <v>250</v>
      </c>
      <c r="AG233" s="97" t="s">
        <v>250</v>
      </c>
      <c r="AH233" s="96">
        <v>3.53</v>
      </c>
      <c r="AI233" s="96">
        <v>0.72</v>
      </c>
      <c r="AJ233" s="95">
        <v>0.05</v>
      </c>
      <c r="AK233" s="95">
        <v>3.4000000000000002E-2</v>
      </c>
      <c r="AL233" s="96">
        <v>0.96</v>
      </c>
      <c r="AM233" s="96">
        <v>0.45</v>
      </c>
      <c r="AN233" s="96">
        <v>3.3</v>
      </c>
      <c r="AO233" s="96">
        <v>1.3</v>
      </c>
      <c r="AP233" s="96">
        <v>0.84</v>
      </c>
      <c r="AQ233" s="96">
        <v>0.39</v>
      </c>
      <c r="AR233" s="96">
        <v>24.9</v>
      </c>
      <c r="AS233" s="93">
        <v>5.2</v>
      </c>
      <c r="AT233" s="96">
        <v>9.8000000000000007</v>
      </c>
      <c r="AU233" s="96">
        <v>1.3</v>
      </c>
      <c r="AV233" s="99">
        <v>148</v>
      </c>
      <c r="AW233" s="98">
        <v>12</v>
      </c>
      <c r="AX233" s="98">
        <v>60.4</v>
      </c>
      <c r="AY233" s="98">
        <v>6</v>
      </c>
      <c r="AZ233" s="98">
        <v>307</v>
      </c>
      <c r="BA233" s="98">
        <v>28</v>
      </c>
      <c r="BB233" s="98">
        <v>65.099999999999994</v>
      </c>
      <c r="BC233" s="98">
        <v>7.3</v>
      </c>
      <c r="BD233" s="98">
        <v>625</v>
      </c>
      <c r="BE233" s="98">
        <v>44</v>
      </c>
      <c r="BF233" s="98">
        <v>128</v>
      </c>
      <c r="BG233" s="98">
        <v>13</v>
      </c>
      <c r="BI233" s="93">
        <v>3.1</v>
      </c>
      <c r="BJ233" s="98">
        <v>2.4</v>
      </c>
      <c r="BK233" s="98">
        <v>492000</v>
      </c>
      <c r="BL233" s="98">
        <v>69000</v>
      </c>
      <c r="BM233" s="98">
        <v>8730</v>
      </c>
      <c r="BN233" s="98">
        <v>780</v>
      </c>
      <c r="BO233" s="99">
        <v>35.299999999999997</v>
      </c>
      <c r="BP233" s="98">
        <v>3</v>
      </c>
      <c r="BQ233" s="99">
        <v>80.900000000000006</v>
      </c>
      <c r="BR233" s="98">
        <v>6.6</v>
      </c>
      <c r="BT233" s="95">
        <f t="shared" si="189"/>
        <v>0.12944</v>
      </c>
      <c r="BU233" s="96">
        <f t="shared" si="190"/>
        <v>3.6770833333333335</v>
      </c>
      <c r="BV233" s="96">
        <f t="shared" si="191"/>
        <v>56.357388316151201</v>
      </c>
      <c r="BW233" s="96">
        <f t="shared" si="192"/>
        <v>0.43634116192830646</v>
      </c>
      <c r="BX233" s="99"/>
      <c r="BY233" s="96">
        <f t="shared" si="193"/>
        <v>3.6770833333333335</v>
      </c>
      <c r="BZ233" s="97">
        <f t="shared" si="194"/>
        <v>2.1378391472868219E-3</v>
      </c>
      <c r="CA233" s="95">
        <f t="shared" si="195"/>
        <v>0.28329980626459156</v>
      </c>
      <c r="CB233" s="99">
        <f t="shared" si="188"/>
        <v>132.39589330592085</v>
      </c>
      <c r="CC233" s="99">
        <f t="shared" si="188"/>
        <v>10.801148279593047</v>
      </c>
      <c r="CD233" s="100">
        <f t="shared" si="196"/>
        <v>669.00565304019926</v>
      </c>
      <c r="CE233" s="100">
        <f t="shared" si="210"/>
        <v>702.73579878407793</v>
      </c>
      <c r="CF233" s="100">
        <f t="shared" si="186"/>
        <v>68.987245324091489</v>
      </c>
      <c r="CG233" s="96">
        <f>2.28+3.99*LOG(AH233/((CB233*BI233)^(1/2)))</f>
        <v>-0.74778516061247213</v>
      </c>
      <c r="CH233" s="96">
        <f t="shared" si="168"/>
        <v>0.86194003917919915</v>
      </c>
      <c r="CJ233" s="95"/>
      <c r="CK233" s="93">
        <f t="shared" si="197"/>
        <v>5.7679738562091503</v>
      </c>
      <c r="CL233" s="93">
        <f t="shared" si="198"/>
        <v>0.52631578947368418</v>
      </c>
      <c r="CM233" s="93">
        <f t="shared" si="199"/>
        <v>2.0556745182012848</v>
      </c>
      <c r="CN233" s="93">
        <f t="shared" si="200"/>
        <v>21.56862745098039</v>
      </c>
      <c r="CO233" s="93">
        <f t="shared" si="201"/>
        <v>14.482758620689653</v>
      </c>
      <c r="CP233" s="93">
        <f t="shared" si="202"/>
        <v>121.16788321167883</v>
      </c>
      <c r="CQ233" s="93">
        <f t="shared" si="203"/>
        <v>262.03208556149735</v>
      </c>
      <c r="CR233" s="93">
        <f t="shared" si="204"/>
        <v>582.67716535433067</v>
      </c>
      <c r="CS233" s="93">
        <f t="shared" si="205"/>
        <v>1067.1378091872791</v>
      </c>
      <c r="CT233" s="93">
        <f t="shared" si="206"/>
        <v>1854.9848942598187</v>
      </c>
      <c r="CU233" s="93">
        <f t="shared" si="207"/>
        <v>2552.9411764705883</v>
      </c>
      <c r="CV233" s="93">
        <f t="shared" si="208"/>
        <v>3676.4705882352937</v>
      </c>
      <c r="CW233" s="93">
        <f t="shared" si="209"/>
        <v>5039.3700787401576</v>
      </c>
    </row>
    <row r="234" spans="1:101" s="118" customFormat="1">
      <c r="A234" s="111" t="s">
        <v>450</v>
      </c>
      <c r="B234" s="112" t="s">
        <v>244</v>
      </c>
      <c r="C234" s="111"/>
      <c r="D234" s="113">
        <v>11.029</v>
      </c>
      <c r="E234" s="114">
        <v>0.18529999999999999</v>
      </c>
      <c r="F234" s="114">
        <v>1.1000000000000001E-3</v>
      </c>
      <c r="G234" s="115">
        <v>13.15</v>
      </c>
      <c r="H234" s="116">
        <v>0.4</v>
      </c>
      <c r="I234" s="117">
        <v>0.51649999999999996</v>
      </c>
      <c r="J234" s="115">
        <v>1.4E-2</v>
      </c>
      <c r="K234" s="116">
        <v>0.80794999999999995</v>
      </c>
      <c r="M234" s="119">
        <v>2684</v>
      </c>
      <c r="N234" s="118">
        <v>60</v>
      </c>
      <c r="O234" s="119">
        <v>2699.9</v>
      </c>
      <c r="P234" s="118">
        <v>5.4</v>
      </c>
      <c r="Q234" s="113">
        <v>0.59</v>
      </c>
      <c r="R234" s="117">
        <v>2.8999999999999998E-3</v>
      </c>
      <c r="T234" s="118">
        <v>2100</v>
      </c>
      <c r="U234" s="118">
        <v>510</v>
      </c>
      <c r="V234" s="118">
        <v>1.4</v>
      </c>
      <c r="W234" s="118">
        <v>1.6</v>
      </c>
      <c r="X234" s="118">
        <v>1.27</v>
      </c>
      <c r="Y234" s="118">
        <v>0.54</v>
      </c>
      <c r="Z234" s="118">
        <v>6</v>
      </c>
      <c r="AA234" s="118">
        <v>1.3</v>
      </c>
      <c r="AB234" s="118">
        <v>1.23</v>
      </c>
      <c r="AC234" s="118">
        <v>0.45</v>
      </c>
      <c r="AD234" s="118">
        <v>1530</v>
      </c>
      <c r="AE234" s="118">
        <v>130</v>
      </c>
      <c r="AF234" s="115">
        <v>5.7</v>
      </c>
      <c r="AG234" s="117">
        <v>1.7</v>
      </c>
      <c r="AH234" s="116">
        <v>22</v>
      </c>
      <c r="AI234" s="116">
        <v>5.9</v>
      </c>
      <c r="AJ234" s="115">
        <v>2.62</v>
      </c>
      <c r="AK234" s="115">
        <v>0.69</v>
      </c>
      <c r="AL234" s="116">
        <v>16.7</v>
      </c>
      <c r="AM234" s="116">
        <v>4.5999999999999996</v>
      </c>
      <c r="AN234" s="116">
        <v>6.5</v>
      </c>
      <c r="AO234" s="116">
        <v>2</v>
      </c>
      <c r="AP234" s="116">
        <v>0.72</v>
      </c>
      <c r="AQ234" s="116">
        <v>0.24</v>
      </c>
      <c r="AR234" s="116">
        <v>23.9</v>
      </c>
      <c r="AS234" s="113">
        <v>4.5999999999999996</v>
      </c>
      <c r="AT234" s="116">
        <v>8.9</v>
      </c>
      <c r="AU234" s="116">
        <v>1.1000000000000001</v>
      </c>
      <c r="AV234" s="119">
        <v>122.1</v>
      </c>
      <c r="AW234" s="118">
        <v>8.6999999999999993</v>
      </c>
      <c r="AX234" s="118">
        <v>49.4</v>
      </c>
      <c r="AY234" s="118">
        <v>4</v>
      </c>
      <c r="AZ234" s="118">
        <v>278</v>
      </c>
      <c r="BA234" s="118">
        <v>23</v>
      </c>
      <c r="BB234" s="118">
        <v>58.2</v>
      </c>
      <c r="BC234" s="118">
        <v>6</v>
      </c>
      <c r="BD234" s="118">
        <v>553</v>
      </c>
      <c r="BE234" s="118">
        <v>63</v>
      </c>
      <c r="BF234" s="118">
        <v>114</v>
      </c>
      <c r="BG234" s="118">
        <v>15</v>
      </c>
      <c r="BI234" s="113">
        <v>3</v>
      </c>
      <c r="BJ234" s="118">
        <v>1.5</v>
      </c>
      <c r="BK234" s="118">
        <v>530000</v>
      </c>
      <c r="BL234" s="118">
        <v>52000</v>
      </c>
      <c r="BM234" s="118">
        <v>10500</v>
      </c>
      <c r="BN234" s="118">
        <v>1200</v>
      </c>
      <c r="BO234" s="119">
        <v>31.6</v>
      </c>
      <c r="BP234" s="118">
        <v>2.2999999999999998</v>
      </c>
      <c r="BQ234" s="119">
        <v>79.3</v>
      </c>
      <c r="BR234" s="118">
        <v>5.9</v>
      </c>
      <c r="BT234" s="115"/>
      <c r="BU234" s="116"/>
      <c r="BV234" s="116"/>
      <c r="BW234" s="116"/>
      <c r="BX234" s="119"/>
      <c r="BY234" s="116"/>
      <c r="BZ234" s="117"/>
      <c r="CA234" s="115"/>
      <c r="CB234" s="99"/>
      <c r="CC234" s="99"/>
      <c r="CD234" s="120"/>
      <c r="CE234" s="100"/>
      <c r="CF234" s="100"/>
      <c r="CG234" s="116"/>
      <c r="CH234" s="96"/>
      <c r="CJ234" s="115">
        <f>AF234/CJ$4</f>
        <v>24.050632911392405</v>
      </c>
      <c r="CK234" s="113">
        <f t="shared" si="197"/>
        <v>35.947712418300654</v>
      </c>
      <c r="CL234" s="113">
        <f t="shared" si="198"/>
        <v>27.578947368421055</v>
      </c>
      <c r="CM234" s="113">
        <f t="shared" si="199"/>
        <v>35.760171306209848</v>
      </c>
      <c r="CN234" s="113">
        <f t="shared" si="200"/>
        <v>42.483660130718953</v>
      </c>
      <c r="CO234" s="113">
        <f t="shared" si="201"/>
        <v>12.413793103448274</v>
      </c>
      <c r="CP234" s="113">
        <f t="shared" si="202"/>
        <v>116.30170316301704</v>
      </c>
      <c r="CQ234" s="113">
        <f t="shared" si="203"/>
        <v>237.96791443850267</v>
      </c>
      <c r="CR234" s="113">
        <f t="shared" si="204"/>
        <v>480.70866141732279</v>
      </c>
      <c r="CS234" s="113">
        <f t="shared" si="205"/>
        <v>872.79151943462898</v>
      </c>
      <c r="CT234" s="113">
        <f t="shared" si="206"/>
        <v>1679.7583081570997</v>
      </c>
      <c r="CU234" s="113">
        <f t="shared" si="207"/>
        <v>2282.3529411764707</v>
      </c>
      <c r="CV234" s="113">
        <f t="shared" si="208"/>
        <v>3252.9411764705878</v>
      </c>
      <c r="CW234" s="113">
        <f t="shared" si="209"/>
        <v>4488.1889763779527</v>
      </c>
    </row>
    <row r="235" spans="1:101" s="98" customFormat="1">
      <c r="A235" s="3" t="s">
        <v>451</v>
      </c>
      <c r="B235" s="92" t="s">
        <v>244</v>
      </c>
      <c r="C235" s="3"/>
      <c r="D235" s="93">
        <v>11.218999999999999</v>
      </c>
      <c r="E235" s="94">
        <v>0.18429000000000001</v>
      </c>
      <c r="F235" s="94">
        <v>8.4999999999999995E-4</v>
      </c>
      <c r="G235" s="95">
        <v>12.769</v>
      </c>
      <c r="H235" s="96">
        <v>0.38</v>
      </c>
      <c r="I235" s="97">
        <v>0.50429999999999997</v>
      </c>
      <c r="J235" s="95">
        <v>1.4E-2</v>
      </c>
      <c r="K235" s="96">
        <v>0.66263000000000005</v>
      </c>
      <c r="M235" s="99">
        <v>2632</v>
      </c>
      <c r="N235" s="98">
        <v>59</v>
      </c>
      <c r="O235" s="99">
        <v>2692.9</v>
      </c>
      <c r="P235" s="98">
        <v>3.7</v>
      </c>
      <c r="Q235" s="93">
        <v>2.2599999999999998</v>
      </c>
      <c r="R235" s="97">
        <v>6.7000000000000002E-3</v>
      </c>
      <c r="T235" s="98">
        <v>270</v>
      </c>
      <c r="U235" s="98">
        <v>120</v>
      </c>
      <c r="V235" s="98" t="s">
        <v>250</v>
      </c>
      <c r="W235" s="98" t="s">
        <v>250</v>
      </c>
      <c r="X235" s="98">
        <v>0.42</v>
      </c>
      <c r="Y235" s="98">
        <v>0.28000000000000003</v>
      </c>
      <c r="Z235" s="98">
        <v>6.2</v>
      </c>
      <c r="AA235" s="98">
        <v>1.3</v>
      </c>
      <c r="AB235" s="98">
        <v>2.0499999999999998</v>
      </c>
      <c r="AC235" s="98">
        <v>0.59</v>
      </c>
      <c r="AD235" s="98">
        <v>1890</v>
      </c>
      <c r="AE235" s="98">
        <v>160</v>
      </c>
      <c r="AF235" s="95">
        <v>8.0000000000000002E-3</v>
      </c>
      <c r="AG235" s="97">
        <v>0.01</v>
      </c>
      <c r="AH235" s="96">
        <v>4.25</v>
      </c>
      <c r="AI235" s="96">
        <v>0.52</v>
      </c>
      <c r="AJ235" s="95">
        <v>5.7000000000000002E-2</v>
      </c>
      <c r="AK235" s="95">
        <v>4.3999999999999997E-2</v>
      </c>
      <c r="AL235" s="96">
        <v>1.25</v>
      </c>
      <c r="AM235" s="96">
        <v>0.53</v>
      </c>
      <c r="AN235" s="96">
        <v>3.7</v>
      </c>
      <c r="AO235" s="96">
        <v>1.1000000000000001</v>
      </c>
      <c r="AP235" s="96">
        <v>0.81</v>
      </c>
      <c r="AQ235" s="96">
        <v>0.22</v>
      </c>
      <c r="AR235" s="96">
        <v>24.7</v>
      </c>
      <c r="AS235" s="93">
        <v>4.2</v>
      </c>
      <c r="AT235" s="96">
        <v>10.3</v>
      </c>
      <c r="AU235" s="96">
        <v>1</v>
      </c>
      <c r="AV235" s="99">
        <v>155</v>
      </c>
      <c r="AW235" s="98">
        <v>12</v>
      </c>
      <c r="AX235" s="98">
        <v>66.599999999999994</v>
      </c>
      <c r="AY235" s="98">
        <v>6.5</v>
      </c>
      <c r="AZ235" s="98">
        <v>361</v>
      </c>
      <c r="BA235" s="98">
        <v>39</v>
      </c>
      <c r="BB235" s="98">
        <v>72.8</v>
      </c>
      <c r="BC235" s="98">
        <v>8.6999999999999993</v>
      </c>
      <c r="BD235" s="98">
        <v>720</v>
      </c>
      <c r="BE235" s="98">
        <v>77</v>
      </c>
      <c r="BF235" s="98">
        <v>140</v>
      </c>
      <c r="BG235" s="98">
        <v>17</v>
      </c>
      <c r="BI235" s="93">
        <v>1.9</v>
      </c>
      <c r="BJ235" s="98">
        <v>1.7</v>
      </c>
      <c r="BK235" s="98">
        <v>598000</v>
      </c>
      <c r="BL235" s="98">
        <v>74000</v>
      </c>
      <c r="BM235" s="98">
        <v>9960</v>
      </c>
      <c r="BN235" s="98">
        <v>1100</v>
      </c>
      <c r="BO235" s="99">
        <v>38.200000000000003</v>
      </c>
      <c r="BP235" s="98">
        <v>3.5</v>
      </c>
      <c r="BQ235" s="99">
        <v>91.6</v>
      </c>
      <c r="BR235" s="98">
        <v>8.5</v>
      </c>
      <c r="BT235" s="95">
        <f t="shared" si="189"/>
        <v>0.12722222222222221</v>
      </c>
      <c r="BU235" s="96">
        <f t="shared" si="190"/>
        <v>3.4</v>
      </c>
      <c r="BV235" s="96">
        <f t="shared" si="191"/>
        <v>60.040160642570278</v>
      </c>
      <c r="BW235" s="96">
        <f t="shared" si="192"/>
        <v>0.4170305676855896</v>
      </c>
      <c r="BX235" s="99">
        <f>CK235/SQRT(CJ235*CL235)</f>
        <v>48.796768481094432</v>
      </c>
      <c r="BY235" s="96">
        <f t="shared" si="193"/>
        <v>3.4</v>
      </c>
      <c r="BZ235" s="97">
        <f t="shared" si="194"/>
        <v>1.7989417989417989E-3</v>
      </c>
      <c r="CA235" s="95">
        <f t="shared" si="195"/>
        <v>0.25903551688870202</v>
      </c>
      <c r="CB235" s="99">
        <f t="shared" si="188"/>
        <v>149.90684581980653</v>
      </c>
      <c r="CC235" s="99">
        <f t="shared" si="188"/>
        <v>13.910569754021349</v>
      </c>
      <c r="CD235" s="100">
        <f t="shared" si="196"/>
        <v>631.26336837711267</v>
      </c>
      <c r="CE235" s="100">
        <f t="shared" si="210"/>
        <v>662.30070460002275</v>
      </c>
      <c r="CF235" s="100">
        <f t="shared" si="186"/>
        <v>73.432321432850102</v>
      </c>
      <c r="CG235" s="96">
        <f t="shared" ref="CG235:CG247" si="211">2.28+3.99*LOG(AH235/((CB235*BI235)^(1/2)))</f>
        <v>-0.10960542826153841</v>
      </c>
      <c r="CH235" s="96">
        <f t="shared" si="168"/>
        <v>0.92928049942415025</v>
      </c>
      <c r="CJ235" s="95">
        <f>AF235/CJ$4</f>
        <v>3.375527426160338E-2</v>
      </c>
      <c r="CK235" s="93">
        <f t="shared" si="197"/>
        <v>6.9444444444444446</v>
      </c>
      <c r="CL235" s="93">
        <f t="shared" si="198"/>
        <v>0.6</v>
      </c>
      <c r="CM235" s="93">
        <f t="shared" si="199"/>
        <v>2.6766595289079227</v>
      </c>
      <c r="CN235" s="93">
        <f t="shared" si="200"/>
        <v>24.183006535947715</v>
      </c>
      <c r="CO235" s="93">
        <f t="shared" si="201"/>
        <v>13.965517241379311</v>
      </c>
      <c r="CP235" s="93">
        <f t="shared" si="202"/>
        <v>120.19464720194648</v>
      </c>
      <c r="CQ235" s="93">
        <f t="shared" si="203"/>
        <v>275.40106951871655</v>
      </c>
      <c r="CR235" s="93">
        <f t="shared" si="204"/>
        <v>610.23622047244089</v>
      </c>
      <c r="CS235" s="93">
        <f t="shared" si="205"/>
        <v>1176.678445229682</v>
      </c>
      <c r="CT235" s="93">
        <f t="shared" si="206"/>
        <v>2181.2688821752263</v>
      </c>
      <c r="CU235" s="93">
        <f t="shared" si="207"/>
        <v>2854.9019607843138</v>
      </c>
      <c r="CV235" s="93">
        <f t="shared" si="208"/>
        <v>4235.2941176470586</v>
      </c>
      <c r="CW235" s="93">
        <f t="shared" si="209"/>
        <v>5511.8110236220473</v>
      </c>
    </row>
    <row r="236" spans="1:101" s="98" customFormat="1">
      <c r="A236" s="3" t="s">
        <v>452</v>
      </c>
      <c r="B236" s="92" t="s">
        <v>244</v>
      </c>
      <c r="C236" s="3"/>
      <c r="D236" s="93">
        <v>11.065</v>
      </c>
      <c r="E236" s="94">
        <v>0.1837</v>
      </c>
      <c r="F236" s="94">
        <v>1.6000000000000001E-3</v>
      </c>
      <c r="G236" s="95">
        <v>13.05</v>
      </c>
      <c r="H236" s="96">
        <v>0.4</v>
      </c>
      <c r="I236" s="97">
        <v>0.51690000000000003</v>
      </c>
      <c r="J236" s="95">
        <v>1.4E-2</v>
      </c>
      <c r="K236" s="96">
        <v>0.53591999999999995</v>
      </c>
      <c r="M236" s="99">
        <v>2686</v>
      </c>
      <c r="N236" s="98">
        <v>61</v>
      </c>
      <c r="O236" s="99">
        <v>2686.3</v>
      </c>
      <c r="P236" s="98">
        <v>6.9</v>
      </c>
      <c r="Q236" s="93">
        <v>0</v>
      </c>
      <c r="R236" s="97">
        <v>2.7000000000000001E-3</v>
      </c>
      <c r="T236" s="98">
        <v>210</v>
      </c>
      <c r="U236" s="98">
        <v>100</v>
      </c>
      <c r="V236" s="98">
        <v>0.44</v>
      </c>
      <c r="W236" s="98">
        <v>0.98</v>
      </c>
      <c r="X236" s="98">
        <v>0.15</v>
      </c>
      <c r="Y236" s="98">
        <v>0.17</v>
      </c>
      <c r="Z236" s="98">
        <v>2.58</v>
      </c>
      <c r="AA236" s="98">
        <v>0.85</v>
      </c>
      <c r="AB236" s="98">
        <v>0.67</v>
      </c>
      <c r="AC236" s="98">
        <v>0.27</v>
      </c>
      <c r="AD236" s="98">
        <v>1260</v>
      </c>
      <c r="AE236" s="98">
        <v>120</v>
      </c>
      <c r="AF236" s="95" t="s">
        <v>250</v>
      </c>
      <c r="AG236" s="97" t="s">
        <v>250</v>
      </c>
      <c r="AH236" s="96">
        <v>2.2400000000000002</v>
      </c>
      <c r="AI236" s="96">
        <v>0.69</v>
      </c>
      <c r="AJ236" s="95">
        <v>6.1000000000000004E-3</v>
      </c>
      <c r="AK236" s="95">
        <v>9.7999999999999997E-3</v>
      </c>
      <c r="AL236" s="96">
        <v>0.4</v>
      </c>
      <c r="AM236" s="96">
        <v>0.3</v>
      </c>
      <c r="AN236" s="96">
        <v>1.6</v>
      </c>
      <c r="AO236" s="96">
        <v>0.47</v>
      </c>
      <c r="AP236" s="96">
        <v>0.41</v>
      </c>
      <c r="AQ236" s="96">
        <v>0.2</v>
      </c>
      <c r="AR236" s="96">
        <v>16.100000000000001</v>
      </c>
      <c r="AS236" s="93">
        <v>3.2</v>
      </c>
      <c r="AT236" s="96">
        <v>6.64</v>
      </c>
      <c r="AU236" s="96">
        <v>0.86</v>
      </c>
      <c r="AV236" s="99">
        <v>90</v>
      </c>
      <c r="AW236" s="98">
        <v>7</v>
      </c>
      <c r="AX236" s="98">
        <v>45.4</v>
      </c>
      <c r="AY236" s="98">
        <v>3.9</v>
      </c>
      <c r="AZ236" s="98">
        <v>229</v>
      </c>
      <c r="BA236" s="98">
        <v>18</v>
      </c>
      <c r="BB236" s="98">
        <v>53.3</v>
      </c>
      <c r="BC236" s="98">
        <v>4.4000000000000004</v>
      </c>
      <c r="BD236" s="98">
        <v>504</v>
      </c>
      <c r="BE236" s="98">
        <v>42</v>
      </c>
      <c r="BF236" s="98">
        <v>100.8</v>
      </c>
      <c r="BG236" s="98">
        <v>6.9</v>
      </c>
      <c r="BI236" s="93">
        <v>2.4</v>
      </c>
      <c r="BJ236" s="98">
        <v>1.6</v>
      </c>
      <c r="BK236" s="98">
        <v>537000</v>
      </c>
      <c r="BL236" s="98">
        <v>41000</v>
      </c>
      <c r="BM236" s="98">
        <v>8950</v>
      </c>
      <c r="BN236" s="98">
        <v>660</v>
      </c>
      <c r="BO236" s="99">
        <v>11.95</v>
      </c>
      <c r="BP236" s="98">
        <v>0.73</v>
      </c>
      <c r="BQ236" s="99">
        <v>45.2</v>
      </c>
      <c r="BR236" s="98">
        <v>2.8</v>
      </c>
      <c r="BT236" s="95">
        <f t="shared" si="189"/>
        <v>8.9682539682539683E-2</v>
      </c>
      <c r="BU236" s="96">
        <f t="shared" si="190"/>
        <v>5.6000000000000005</v>
      </c>
      <c r="BV236" s="96">
        <f t="shared" si="191"/>
        <v>60</v>
      </c>
      <c r="BW236" s="96">
        <f t="shared" si="192"/>
        <v>0.26438053097345132</v>
      </c>
      <c r="BX236" s="99"/>
      <c r="BY236" s="96">
        <f t="shared" si="193"/>
        <v>5.6000000000000005</v>
      </c>
      <c r="BZ236" s="97">
        <f t="shared" si="194"/>
        <v>4.4444444444444444E-3</v>
      </c>
      <c r="CA236" s="95">
        <f t="shared" si="195"/>
        <v>0.24696451842256031</v>
      </c>
      <c r="CB236" s="99">
        <f t="shared" si="188"/>
        <v>73.971500339031181</v>
      </c>
      <c r="CC236" s="99">
        <f t="shared" si="188"/>
        <v>4.5823053307364443</v>
      </c>
      <c r="CD236" s="100">
        <f t="shared" si="196"/>
        <v>648.88962465497366</v>
      </c>
      <c r="CE236" s="100">
        <f t="shared" si="210"/>
        <v>681.17012279958135</v>
      </c>
      <c r="CF236" s="100">
        <f t="shared" si="186"/>
        <v>57.202711688376063</v>
      </c>
      <c r="CG236" s="96">
        <f t="shared" si="211"/>
        <v>-0.80981536680407817</v>
      </c>
      <c r="CH236" s="96">
        <f t="shared" si="168"/>
        <v>0.88768901882709383</v>
      </c>
      <c r="CJ236" s="95"/>
      <c r="CK236" s="93">
        <f t="shared" si="197"/>
        <v>3.6601307189542487</v>
      </c>
      <c r="CL236" s="93">
        <f t="shared" si="198"/>
        <v>6.4210526315789482E-2</v>
      </c>
      <c r="CM236" s="93">
        <f t="shared" si="199"/>
        <v>0.85653104925053536</v>
      </c>
      <c r="CN236" s="93">
        <f t="shared" si="200"/>
        <v>10.457516339869281</v>
      </c>
      <c r="CO236" s="93">
        <f t="shared" si="201"/>
        <v>7.0689655172413781</v>
      </c>
      <c r="CP236" s="93">
        <f t="shared" si="202"/>
        <v>78.345498783455</v>
      </c>
      <c r="CQ236" s="93">
        <f t="shared" si="203"/>
        <v>177.54010695187165</v>
      </c>
      <c r="CR236" s="93">
        <f t="shared" si="204"/>
        <v>354.3307086614173</v>
      </c>
      <c r="CS236" s="93">
        <f t="shared" si="205"/>
        <v>802.12014134275614</v>
      </c>
      <c r="CT236" s="93">
        <f t="shared" si="206"/>
        <v>1383.6858006042296</v>
      </c>
      <c r="CU236" s="93">
        <f t="shared" si="207"/>
        <v>2090.1960784313724</v>
      </c>
      <c r="CV236" s="93">
        <f t="shared" si="208"/>
        <v>2964.705882352941</v>
      </c>
      <c r="CW236" s="93">
        <f t="shared" si="209"/>
        <v>3968.5039370078739</v>
      </c>
    </row>
    <row r="237" spans="1:101" s="98" customFormat="1">
      <c r="A237" s="3" t="s">
        <v>453</v>
      </c>
      <c r="B237" s="92" t="s">
        <v>244</v>
      </c>
      <c r="C237" s="3" t="s">
        <v>454</v>
      </c>
      <c r="D237" s="93">
        <v>9.3874999999999993</v>
      </c>
      <c r="E237" s="94">
        <v>0.2026</v>
      </c>
      <c r="F237" s="94">
        <v>1.4E-3</v>
      </c>
      <c r="G237" s="95">
        <v>12.4</v>
      </c>
      <c r="H237" s="96">
        <v>0.4</v>
      </c>
      <c r="I237" s="97">
        <v>0.44569999999999999</v>
      </c>
      <c r="J237" s="95">
        <v>1.4E-2</v>
      </c>
      <c r="K237" s="96">
        <v>0.94518000000000002</v>
      </c>
      <c r="M237" s="99">
        <v>2375</v>
      </c>
      <c r="N237" s="98">
        <v>61</v>
      </c>
      <c r="O237" s="99">
        <v>2847.1</v>
      </c>
      <c r="P237" s="98">
        <v>7.2</v>
      </c>
      <c r="Q237" s="93">
        <v>16.5</v>
      </c>
      <c r="R237" s="97">
        <v>5.6399999999999999E-2</v>
      </c>
      <c r="T237" s="98">
        <v>4540</v>
      </c>
      <c r="U237" s="98">
        <v>590</v>
      </c>
      <c r="V237" s="98">
        <v>1.6</v>
      </c>
      <c r="W237" s="98">
        <v>2.5</v>
      </c>
      <c r="X237" s="98">
        <v>4.5</v>
      </c>
      <c r="Y237" s="98">
        <v>1.5</v>
      </c>
      <c r="Z237" s="98">
        <v>11.7</v>
      </c>
      <c r="AA237" s="98">
        <v>2.4</v>
      </c>
      <c r="AB237" s="98">
        <v>8.5</v>
      </c>
      <c r="AC237" s="98">
        <v>2.4</v>
      </c>
      <c r="AD237" s="98">
        <v>1810</v>
      </c>
      <c r="AE237" s="98">
        <v>190</v>
      </c>
      <c r="AF237" s="95">
        <v>0.44</v>
      </c>
      <c r="AG237" s="97">
        <v>0.14000000000000001</v>
      </c>
      <c r="AH237" s="96">
        <v>7.1</v>
      </c>
      <c r="AI237" s="96">
        <v>0.91</v>
      </c>
      <c r="AJ237" s="95">
        <v>0.42</v>
      </c>
      <c r="AK237" s="95">
        <v>0.17</v>
      </c>
      <c r="AL237" s="96">
        <v>1.82</v>
      </c>
      <c r="AM237" s="96">
        <v>0.83</v>
      </c>
      <c r="AN237" s="96">
        <v>4.42</v>
      </c>
      <c r="AO237" s="96">
        <v>0.98</v>
      </c>
      <c r="AP237" s="96">
        <v>0.66</v>
      </c>
      <c r="AQ237" s="96">
        <v>0.33</v>
      </c>
      <c r="AR237" s="96">
        <v>31</v>
      </c>
      <c r="AS237" s="93">
        <v>6</v>
      </c>
      <c r="AT237" s="96">
        <v>12.7</v>
      </c>
      <c r="AU237" s="96">
        <v>2.1</v>
      </c>
      <c r="AV237" s="99">
        <v>181</v>
      </c>
      <c r="AW237" s="98">
        <v>23</v>
      </c>
      <c r="AX237" s="98">
        <v>71</v>
      </c>
      <c r="AY237" s="98">
        <v>8.8000000000000007</v>
      </c>
      <c r="AZ237" s="98">
        <v>367</v>
      </c>
      <c r="BA237" s="98">
        <v>46</v>
      </c>
      <c r="BB237" s="98">
        <v>76.099999999999994</v>
      </c>
      <c r="BC237" s="98">
        <v>6.3</v>
      </c>
      <c r="BD237" s="98">
        <v>760</v>
      </c>
      <c r="BE237" s="98">
        <v>100</v>
      </c>
      <c r="BF237" s="98">
        <v>144</v>
      </c>
      <c r="BG237" s="98">
        <v>17</v>
      </c>
      <c r="BI237" s="93">
        <v>3.8</v>
      </c>
      <c r="BJ237" s="98">
        <v>6</v>
      </c>
      <c r="BK237" s="98">
        <v>571000</v>
      </c>
      <c r="BL237" s="98">
        <v>97000</v>
      </c>
      <c r="BM237" s="98">
        <v>11700</v>
      </c>
      <c r="BN237" s="98">
        <v>1800</v>
      </c>
      <c r="BO237" s="99">
        <v>58.5</v>
      </c>
      <c r="BP237" s="98">
        <v>8.1</v>
      </c>
      <c r="BQ237" s="99">
        <v>165</v>
      </c>
      <c r="BR237" s="98">
        <v>15</v>
      </c>
      <c r="BT237" s="95">
        <f t="shared" si="189"/>
        <v>0.21710526315789475</v>
      </c>
      <c r="BU237" s="96">
        <f t="shared" si="190"/>
        <v>3.9010989010989006</v>
      </c>
      <c r="BV237" s="96">
        <f t="shared" si="191"/>
        <v>48.803418803418801</v>
      </c>
      <c r="BW237" s="96">
        <f t="shared" si="192"/>
        <v>0.35454545454545455</v>
      </c>
      <c r="BX237" s="99">
        <f t="shared" ref="BX237:BX246" si="212">CK237/SQRT(CJ237*CL237)</f>
        <v>4.0494115642718844</v>
      </c>
      <c r="BY237" s="96">
        <f t="shared" si="193"/>
        <v>3.9010989010989006</v>
      </c>
      <c r="BZ237" s="97">
        <f t="shared" si="194"/>
        <v>2.1553032602756356E-3</v>
      </c>
      <c r="CA237" s="95">
        <f>CO237/SQRT(CN237*CP237)</f>
        <v>0.17237551983854779</v>
      </c>
      <c r="CB237" s="99">
        <f t="shared" si="188"/>
        <v>270.02870698982622</v>
      </c>
      <c r="CC237" s="99">
        <f t="shared" si="188"/>
        <v>24.548064271802382</v>
      </c>
      <c r="CD237" s="100">
        <f t="shared" si="196"/>
        <v>685.64619939103841</v>
      </c>
      <c r="CE237" s="100">
        <f t="shared" si="210"/>
        <v>720.60046733787181</v>
      </c>
      <c r="CF237" s="100">
        <f t="shared" si="186"/>
        <v>144.31872647848039</v>
      </c>
      <c r="CG237" s="96">
        <f t="shared" si="211"/>
        <v>-0.33081028786219546</v>
      </c>
      <c r="CH237" s="96">
        <f t="shared" si="168"/>
        <v>1.5968406306915057</v>
      </c>
      <c r="CJ237" s="95">
        <f t="shared" ref="CJ237:CJ246" si="213">AF237/CJ$4</f>
        <v>1.8565400843881859</v>
      </c>
      <c r="CK237" s="93">
        <f t="shared" si="197"/>
        <v>11.601307189542483</v>
      </c>
      <c r="CL237" s="93">
        <f t="shared" si="198"/>
        <v>4.4210526315789469</v>
      </c>
      <c r="CM237" s="93">
        <f t="shared" si="199"/>
        <v>3.8972162740899359</v>
      </c>
      <c r="CN237" s="93">
        <f t="shared" si="200"/>
        <v>28.888888888888889</v>
      </c>
      <c r="CO237" s="93">
        <f t="shared" si="201"/>
        <v>11.379310344827585</v>
      </c>
      <c r="CP237" s="93">
        <f t="shared" si="202"/>
        <v>150.85158150851584</v>
      </c>
      <c r="CQ237" s="93">
        <f t="shared" si="203"/>
        <v>339.57219251336892</v>
      </c>
      <c r="CR237" s="93">
        <f t="shared" si="204"/>
        <v>712.59842519685037</v>
      </c>
      <c r="CS237" s="93">
        <f t="shared" si="205"/>
        <v>1254.416961130742</v>
      </c>
      <c r="CT237" s="93">
        <f t="shared" si="206"/>
        <v>2217.5226586102717</v>
      </c>
      <c r="CU237" s="93">
        <f t="shared" si="207"/>
        <v>2984.3137254901962</v>
      </c>
      <c r="CV237" s="93">
        <f t="shared" si="208"/>
        <v>4470.5882352941171</v>
      </c>
      <c r="CW237" s="93">
        <f t="shared" si="209"/>
        <v>5669.2913385826778</v>
      </c>
    </row>
    <row r="238" spans="1:101" s="98" customFormat="1">
      <c r="A238" s="3" t="s">
        <v>455</v>
      </c>
      <c r="B238" s="92" t="s">
        <v>244</v>
      </c>
      <c r="C238" s="3"/>
      <c r="D238" s="93">
        <v>11.025</v>
      </c>
      <c r="E238" s="94">
        <v>0.1845</v>
      </c>
      <c r="F238" s="94">
        <v>1.1000000000000001E-3</v>
      </c>
      <c r="G238" s="95">
        <v>13.11</v>
      </c>
      <c r="H238" s="96">
        <v>0.4</v>
      </c>
      <c r="I238" s="97">
        <v>0.51719999999999999</v>
      </c>
      <c r="J238" s="95">
        <v>1.4E-2</v>
      </c>
      <c r="K238" s="96">
        <v>0.79032999999999998</v>
      </c>
      <c r="M238" s="99">
        <v>2687</v>
      </c>
      <c r="N238" s="98">
        <v>61</v>
      </c>
      <c r="O238" s="99">
        <v>2694.2</v>
      </c>
      <c r="P238" s="98">
        <v>4.7</v>
      </c>
      <c r="Q238" s="93">
        <v>0.26</v>
      </c>
      <c r="R238" s="97">
        <v>3.0000000000000001E-3</v>
      </c>
      <c r="T238" s="98">
        <v>350</v>
      </c>
      <c r="U238" s="98">
        <v>100</v>
      </c>
      <c r="V238" s="98">
        <v>0.16</v>
      </c>
      <c r="W238" s="98">
        <v>0.87</v>
      </c>
      <c r="X238" s="98">
        <v>0.45</v>
      </c>
      <c r="Y238" s="98">
        <v>0.28000000000000003</v>
      </c>
      <c r="Z238" s="98">
        <v>5.9</v>
      </c>
      <c r="AA238" s="98">
        <v>1.1000000000000001</v>
      </c>
      <c r="AB238" s="98">
        <v>1.77</v>
      </c>
      <c r="AC238" s="98">
        <v>0.51</v>
      </c>
      <c r="AD238" s="98">
        <v>1600</v>
      </c>
      <c r="AE238" s="98">
        <v>130</v>
      </c>
      <c r="AF238" s="95">
        <v>4.4999999999999998E-2</v>
      </c>
      <c r="AG238" s="97">
        <v>2.8000000000000001E-2</v>
      </c>
      <c r="AH238" s="96">
        <v>3.48</v>
      </c>
      <c r="AI238" s="96">
        <v>0.61</v>
      </c>
      <c r="AJ238" s="95">
        <v>2.4E-2</v>
      </c>
      <c r="AK238" s="95">
        <v>1.7999999999999999E-2</v>
      </c>
      <c r="AL238" s="96">
        <v>0.87</v>
      </c>
      <c r="AM238" s="96">
        <v>0.31</v>
      </c>
      <c r="AN238" s="96">
        <v>2.62</v>
      </c>
      <c r="AO238" s="96">
        <v>0.64</v>
      </c>
      <c r="AP238" s="96">
        <v>0.46</v>
      </c>
      <c r="AQ238" s="96">
        <v>0.2</v>
      </c>
      <c r="AR238" s="96">
        <v>23</v>
      </c>
      <c r="AS238" s="93">
        <v>4.5</v>
      </c>
      <c r="AT238" s="96">
        <v>8.25</v>
      </c>
      <c r="AU238" s="96">
        <v>0.94</v>
      </c>
      <c r="AV238" s="99">
        <v>123</v>
      </c>
      <c r="AW238" s="98">
        <v>8.1</v>
      </c>
      <c r="AX238" s="98">
        <v>51.4</v>
      </c>
      <c r="AY238" s="98">
        <v>4.8</v>
      </c>
      <c r="AZ238" s="98">
        <v>283</v>
      </c>
      <c r="BA238" s="98">
        <v>23</v>
      </c>
      <c r="BB238" s="98">
        <v>62.1</v>
      </c>
      <c r="BC238" s="98">
        <v>4.7</v>
      </c>
      <c r="BD238" s="98">
        <v>565</v>
      </c>
      <c r="BE238" s="98">
        <v>38</v>
      </c>
      <c r="BF238" s="98">
        <v>118</v>
      </c>
      <c r="BG238" s="98">
        <v>7.7</v>
      </c>
      <c r="BI238" s="93">
        <v>3.7</v>
      </c>
      <c r="BJ238" s="98">
        <v>2.7</v>
      </c>
      <c r="BK238" s="98">
        <v>510000</v>
      </c>
      <c r="BL238" s="98">
        <v>50000</v>
      </c>
      <c r="BM238" s="98">
        <v>9080</v>
      </c>
      <c r="BN238" s="98">
        <v>900</v>
      </c>
      <c r="BO238" s="99">
        <v>21.7</v>
      </c>
      <c r="BP238" s="98">
        <v>1.3</v>
      </c>
      <c r="BQ238" s="99">
        <v>63.3</v>
      </c>
      <c r="BR238" s="98">
        <v>4.2</v>
      </c>
      <c r="BT238" s="95">
        <f t="shared" si="189"/>
        <v>0.11203539823008848</v>
      </c>
      <c r="BU238" s="96">
        <f t="shared" si="190"/>
        <v>4</v>
      </c>
      <c r="BV238" s="96">
        <f t="shared" si="191"/>
        <v>56.167400881057269</v>
      </c>
      <c r="BW238" s="96">
        <f t="shared" si="192"/>
        <v>0.34281200631911535</v>
      </c>
      <c r="BX238" s="99">
        <f t="shared" si="212"/>
        <v>25.962823426292747</v>
      </c>
      <c r="BY238" s="96">
        <f t="shared" si="193"/>
        <v>4</v>
      </c>
      <c r="BZ238" s="97">
        <f t="shared" si="194"/>
        <v>2.5000000000000001E-3</v>
      </c>
      <c r="CA238" s="95">
        <f t="shared" si="195"/>
        <v>0.18116191506371276</v>
      </c>
      <c r="CB238" s="99">
        <f t="shared" si="188"/>
        <v>103.59283122700604</v>
      </c>
      <c r="CC238" s="99">
        <f t="shared" si="188"/>
        <v>6.8734579961046673</v>
      </c>
      <c r="CD238" s="100">
        <f t="shared" si="196"/>
        <v>683.43317304074549</v>
      </c>
      <c r="CE238" s="100">
        <f t="shared" si="210"/>
        <v>718.22334175217838</v>
      </c>
      <c r="CF238" s="100">
        <f t="shared" si="186"/>
        <v>67.062539647756608</v>
      </c>
      <c r="CG238" s="96">
        <f t="shared" si="211"/>
        <v>-0.71324401294544693</v>
      </c>
      <c r="CH238" s="96">
        <f t="shared" si="168"/>
        <v>0.79048708725904282</v>
      </c>
      <c r="CJ238" s="95">
        <f t="shared" si="213"/>
        <v>0.189873417721519</v>
      </c>
      <c r="CK238" s="93">
        <f t="shared" si="197"/>
        <v>5.6862745098039218</v>
      </c>
      <c r="CL238" s="93">
        <f t="shared" si="198"/>
        <v>0.25263157894736843</v>
      </c>
      <c r="CM238" s="93">
        <f t="shared" si="199"/>
        <v>1.8629550321199142</v>
      </c>
      <c r="CN238" s="93">
        <f t="shared" si="200"/>
        <v>17.124183006535947</v>
      </c>
      <c r="CO238" s="93">
        <f t="shared" si="201"/>
        <v>7.931034482758621</v>
      </c>
      <c r="CP238" s="93">
        <f t="shared" si="202"/>
        <v>111.92214111922142</v>
      </c>
      <c r="CQ238" s="93">
        <f t="shared" si="203"/>
        <v>220.58823529411762</v>
      </c>
      <c r="CR238" s="93">
        <f t="shared" si="204"/>
        <v>484.25196850393701</v>
      </c>
      <c r="CS238" s="93">
        <f t="shared" si="205"/>
        <v>908.1272084805654</v>
      </c>
      <c r="CT238" s="93">
        <f t="shared" si="206"/>
        <v>1709.9697885196374</v>
      </c>
      <c r="CU238" s="93">
        <f t="shared" si="207"/>
        <v>2435.294117647059</v>
      </c>
      <c r="CV238" s="93">
        <f t="shared" si="208"/>
        <v>3323.5294117647059</v>
      </c>
      <c r="CW238" s="93">
        <f t="shared" si="209"/>
        <v>4645.6692913385832</v>
      </c>
    </row>
    <row r="239" spans="1:101" s="98" customFormat="1">
      <c r="A239" s="3" t="s">
        <v>456</v>
      </c>
      <c r="B239" s="92" t="s">
        <v>244</v>
      </c>
      <c r="C239" s="3"/>
      <c r="D239" s="93">
        <v>11.044</v>
      </c>
      <c r="E239" s="94">
        <v>0.18290000000000001</v>
      </c>
      <c r="F239" s="94">
        <v>1.1999999999999999E-3</v>
      </c>
      <c r="G239" s="95">
        <v>13.6</v>
      </c>
      <c r="H239" s="96">
        <v>0.43</v>
      </c>
      <c r="I239" s="97">
        <v>0.5413</v>
      </c>
      <c r="J239" s="95">
        <v>1.6E-2</v>
      </c>
      <c r="K239" s="96">
        <v>0.89449999999999996</v>
      </c>
      <c r="M239" s="99">
        <v>2788</v>
      </c>
      <c r="N239" s="98">
        <v>67</v>
      </c>
      <c r="O239" s="99">
        <v>2679.4</v>
      </c>
      <c r="P239" s="98">
        <v>5.6</v>
      </c>
      <c r="Q239" s="93">
        <v>-4.0999999999999996</v>
      </c>
      <c r="R239" s="97">
        <v>3.8999999999999999E-4</v>
      </c>
      <c r="T239" s="98">
        <v>590</v>
      </c>
      <c r="U239" s="98">
        <v>160</v>
      </c>
      <c r="V239" s="98">
        <v>0.1</v>
      </c>
      <c r="W239" s="98">
        <v>1.2</v>
      </c>
      <c r="X239" s="98">
        <v>0.5</v>
      </c>
      <c r="Y239" s="98">
        <v>0.33</v>
      </c>
      <c r="Z239" s="98">
        <v>2.99</v>
      </c>
      <c r="AA239" s="98">
        <v>0.71</v>
      </c>
      <c r="AB239" s="98">
        <v>0.96</v>
      </c>
      <c r="AC239" s="98">
        <v>0.34</v>
      </c>
      <c r="AD239" s="98">
        <v>1580</v>
      </c>
      <c r="AE239" s="98">
        <v>200</v>
      </c>
      <c r="AF239" s="95">
        <v>8.0000000000000004E-4</v>
      </c>
      <c r="AG239" s="97">
        <v>3.7000000000000002E-3</v>
      </c>
      <c r="AH239" s="96">
        <v>2.39</v>
      </c>
      <c r="AI239" s="96">
        <v>0.68</v>
      </c>
      <c r="AJ239" s="95">
        <v>1.4E-2</v>
      </c>
      <c r="AK239" s="95">
        <v>1.4E-2</v>
      </c>
      <c r="AL239" s="96">
        <v>0.65</v>
      </c>
      <c r="AM239" s="96">
        <v>0.38</v>
      </c>
      <c r="AN239" s="96">
        <v>2.92</v>
      </c>
      <c r="AO239" s="96">
        <v>0.94</v>
      </c>
      <c r="AP239" s="96">
        <v>0.42</v>
      </c>
      <c r="AQ239" s="96">
        <v>0.17</v>
      </c>
      <c r="AR239" s="96">
        <v>20.399999999999999</v>
      </c>
      <c r="AS239" s="93">
        <v>3.8</v>
      </c>
      <c r="AT239" s="96">
        <v>8.6999999999999993</v>
      </c>
      <c r="AU239" s="96">
        <v>1.1000000000000001</v>
      </c>
      <c r="AV239" s="99">
        <v>124</v>
      </c>
      <c r="AW239" s="98">
        <v>14</v>
      </c>
      <c r="AX239" s="98">
        <v>52.4</v>
      </c>
      <c r="AY239" s="98">
        <v>4.8</v>
      </c>
      <c r="AZ239" s="98">
        <v>276</v>
      </c>
      <c r="BA239" s="98">
        <v>28</v>
      </c>
      <c r="BB239" s="98">
        <v>59.8</v>
      </c>
      <c r="BC239" s="98">
        <v>6.2</v>
      </c>
      <c r="BD239" s="98">
        <v>541</v>
      </c>
      <c r="BE239" s="98">
        <v>73</v>
      </c>
      <c r="BF239" s="98">
        <v>113</v>
      </c>
      <c r="BG239" s="98">
        <v>11</v>
      </c>
      <c r="BI239" s="93">
        <v>2.6</v>
      </c>
      <c r="BJ239" s="98">
        <v>1.7</v>
      </c>
      <c r="BK239" s="98">
        <v>515000</v>
      </c>
      <c r="BL239" s="98">
        <v>63000</v>
      </c>
      <c r="BM239" s="98">
        <v>8390</v>
      </c>
      <c r="BN239" s="98">
        <v>810</v>
      </c>
      <c r="BO239" s="99">
        <v>17.5</v>
      </c>
      <c r="BP239" s="98">
        <v>1.6</v>
      </c>
      <c r="BQ239" s="99">
        <v>61.9</v>
      </c>
      <c r="BR239" s="98">
        <v>5.8</v>
      </c>
      <c r="BT239" s="95">
        <f t="shared" si="189"/>
        <v>0.1144177449168207</v>
      </c>
      <c r="BU239" s="96">
        <f t="shared" si="190"/>
        <v>3.6769230769230772</v>
      </c>
      <c r="BV239" s="96">
        <f t="shared" si="191"/>
        <v>61.382598331346841</v>
      </c>
      <c r="BW239" s="96">
        <f t="shared" si="192"/>
        <v>0.28271405492730212</v>
      </c>
      <c r="BX239" s="99">
        <f t="shared" si="212"/>
        <v>175.09487845921464</v>
      </c>
      <c r="BY239" s="96">
        <f t="shared" si="193"/>
        <v>3.6769230769230772</v>
      </c>
      <c r="BZ239" s="97">
        <f t="shared" si="194"/>
        <v>2.3271665043816943E-3</v>
      </c>
      <c r="CA239" s="95">
        <f t="shared" si="195"/>
        <v>0.16636670526751807</v>
      </c>
      <c r="CB239" s="99">
        <f t="shared" si="188"/>
        <v>101.30167856163783</v>
      </c>
      <c r="CC239" s="99">
        <f t="shared" si="188"/>
        <v>9.491918185096921</v>
      </c>
      <c r="CD239" s="100">
        <f>4800/(5.711-LOG(BI239)-LOG(1)+LOG(0.75))-273.15</f>
        <v>655.0879411275821</v>
      </c>
      <c r="CE239" s="100">
        <f t="shared" si="210"/>
        <v>687.81160422515734</v>
      </c>
      <c r="CF239" s="100">
        <f t="shared" si="186"/>
        <v>56.869024547823059</v>
      </c>
      <c r="CG239" s="96">
        <f t="shared" si="211"/>
        <v>-1.0392694045078739</v>
      </c>
      <c r="CH239" s="96">
        <f t="shared" si="168"/>
        <v>0.85355071920369596</v>
      </c>
      <c r="CJ239" s="95">
        <f t="shared" si="213"/>
        <v>3.375527426160338E-3</v>
      </c>
      <c r="CK239" s="93">
        <f t="shared" si="197"/>
        <v>3.905228758169935</v>
      </c>
      <c r="CL239" s="93">
        <f t="shared" si="198"/>
        <v>0.14736842105263159</v>
      </c>
      <c r="CM239" s="93">
        <f t="shared" si="199"/>
        <v>1.39186295503212</v>
      </c>
      <c r="CN239" s="93">
        <f t="shared" si="200"/>
        <v>19.084967320261438</v>
      </c>
      <c r="CO239" s="93">
        <f t="shared" si="201"/>
        <v>7.2413793103448265</v>
      </c>
      <c r="CP239" s="93">
        <f t="shared" si="202"/>
        <v>99.270072992700733</v>
      </c>
      <c r="CQ239" s="93">
        <f t="shared" si="203"/>
        <v>232.62032085561495</v>
      </c>
      <c r="CR239" s="93">
        <f t="shared" si="204"/>
        <v>488.18897637795277</v>
      </c>
      <c r="CS239" s="93">
        <f t="shared" si="205"/>
        <v>925.79505300353355</v>
      </c>
      <c r="CT239" s="93">
        <f t="shared" si="206"/>
        <v>1667.6737160120845</v>
      </c>
      <c r="CU239" s="93">
        <f t="shared" si="207"/>
        <v>2345.0980392156862</v>
      </c>
      <c r="CV239" s="93">
        <f t="shared" si="208"/>
        <v>3182.3529411764703</v>
      </c>
      <c r="CW239" s="93">
        <f t="shared" si="209"/>
        <v>4448.8188976377951</v>
      </c>
    </row>
    <row r="240" spans="1:101" s="98" customFormat="1">
      <c r="A240" s="3" t="s">
        <v>457</v>
      </c>
      <c r="B240" s="92" t="s">
        <v>244</v>
      </c>
      <c r="C240" s="3"/>
      <c r="D240" s="93">
        <v>11.032</v>
      </c>
      <c r="E240" s="94">
        <v>0.1847</v>
      </c>
      <c r="F240" s="94">
        <v>1.2999999999999999E-3</v>
      </c>
      <c r="G240" s="95">
        <v>12.997999999999999</v>
      </c>
      <c r="H240" s="96">
        <v>0.39</v>
      </c>
      <c r="I240" s="97">
        <v>0.51219999999999999</v>
      </c>
      <c r="J240" s="95">
        <v>1.4E-2</v>
      </c>
      <c r="K240" s="96">
        <v>0.43662000000000001</v>
      </c>
      <c r="M240" s="99">
        <v>2665.8</v>
      </c>
      <c r="N240" s="98">
        <v>59</v>
      </c>
      <c r="O240" s="99">
        <v>2695.6</v>
      </c>
      <c r="P240" s="98">
        <v>6</v>
      </c>
      <c r="Q240" s="93">
        <v>1.1000000000000001</v>
      </c>
      <c r="R240" s="97">
        <v>3.0999999999999999E-3</v>
      </c>
      <c r="T240" s="98">
        <v>211</v>
      </c>
      <c r="U240" s="98">
        <v>96</v>
      </c>
      <c r="V240" s="98" t="s">
        <v>250</v>
      </c>
      <c r="W240" s="98" t="s">
        <v>250</v>
      </c>
      <c r="X240" s="98">
        <v>0.16</v>
      </c>
      <c r="Y240" s="98">
        <v>0.16</v>
      </c>
      <c r="Z240" s="98">
        <v>4.6399999999999997</v>
      </c>
      <c r="AA240" s="98">
        <v>0.96</v>
      </c>
      <c r="AB240" s="98">
        <v>1.64</v>
      </c>
      <c r="AC240" s="98">
        <v>0.42</v>
      </c>
      <c r="AD240" s="98">
        <v>1300</v>
      </c>
      <c r="AE240" s="98">
        <v>160</v>
      </c>
      <c r="AF240" s="95">
        <v>7.3000000000000001E-3</v>
      </c>
      <c r="AG240" s="97">
        <v>9.1999999999999998E-3</v>
      </c>
      <c r="AH240" s="96">
        <v>3.52</v>
      </c>
      <c r="AI240" s="96">
        <v>0.82</v>
      </c>
      <c r="AJ240" s="95">
        <v>1.9E-2</v>
      </c>
      <c r="AK240" s="95">
        <v>1.6E-2</v>
      </c>
      <c r="AL240" s="96">
        <v>0.2</v>
      </c>
      <c r="AM240" s="96">
        <v>0.23</v>
      </c>
      <c r="AN240" s="96">
        <v>1.48</v>
      </c>
      <c r="AO240" s="96">
        <v>0.59</v>
      </c>
      <c r="AP240" s="96">
        <v>0.21</v>
      </c>
      <c r="AQ240" s="96">
        <v>0.15</v>
      </c>
      <c r="AR240" s="96">
        <v>16.2</v>
      </c>
      <c r="AS240" s="93">
        <v>3.3</v>
      </c>
      <c r="AT240" s="96">
        <v>6.9</v>
      </c>
      <c r="AU240" s="96">
        <v>1</v>
      </c>
      <c r="AV240" s="99">
        <v>104.4</v>
      </c>
      <c r="AW240" s="98">
        <v>9.6999999999999993</v>
      </c>
      <c r="AX240" s="98">
        <v>46.3</v>
      </c>
      <c r="AY240" s="98">
        <v>4.0999999999999996</v>
      </c>
      <c r="AZ240" s="98">
        <v>247</v>
      </c>
      <c r="BA240" s="98">
        <v>26</v>
      </c>
      <c r="BB240" s="98">
        <v>53.6</v>
      </c>
      <c r="BC240" s="98">
        <v>5.8</v>
      </c>
      <c r="BD240" s="98">
        <v>515</v>
      </c>
      <c r="BE240" s="98">
        <v>63</v>
      </c>
      <c r="BF240" s="98">
        <v>112</v>
      </c>
      <c r="BG240" s="98">
        <v>15</v>
      </c>
      <c r="BI240" s="93">
        <v>4.5999999999999996</v>
      </c>
      <c r="BJ240" s="98">
        <v>2</v>
      </c>
      <c r="BK240" s="98">
        <v>562000</v>
      </c>
      <c r="BL240" s="98">
        <v>80000</v>
      </c>
      <c r="BM240" s="98">
        <v>10100</v>
      </c>
      <c r="BN240" s="98">
        <v>1100</v>
      </c>
      <c r="BO240" s="99">
        <v>15.1</v>
      </c>
      <c r="BP240" s="98">
        <v>1.5</v>
      </c>
      <c r="BQ240" s="99">
        <v>54.5</v>
      </c>
      <c r="BR240" s="98">
        <v>5.5</v>
      </c>
      <c r="BT240" s="95">
        <f t="shared" si="189"/>
        <v>0.10582524271844661</v>
      </c>
      <c r="BU240" s="96">
        <f t="shared" si="190"/>
        <v>17.599999999999998</v>
      </c>
      <c r="BV240" s="96">
        <f t="shared" si="191"/>
        <v>55.643564356435647</v>
      </c>
      <c r="BW240" s="96">
        <f t="shared" si="192"/>
        <v>0.27706422018348625</v>
      </c>
      <c r="BX240" s="99">
        <f t="shared" si="212"/>
        <v>73.280594920333982</v>
      </c>
      <c r="BY240" s="96">
        <f t="shared" si="193"/>
        <v>17.599999999999998</v>
      </c>
      <c r="BZ240" s="97">
        <f t="shared" si="194"/>
        <v>1.3538461538461537E-2</v>
      </c>
      <c r="CA240" s="95">
        <f t="shared" si="195"/>
        <v>0.13111565978907946</v>
      </c>
      <c r="CB240" s="99">
        <f t="shared" si="188"/>
        <v>89.191300187548649</v>
      </c>
      <c r="CC240" s="99">
        <f t="shared" si="188"/>
        <v>9.0009568996608724</v>
      </c>
      <c r="CD240" s="100">
        <f t="shared" si="196"/>
        <v>701.80514273689687</v>
      </c>
      <c r="CE240" s="100">
        <f t="shared" si="210"/>
        <v>737.96975311523488</v>
      </c>
      <c r="CF240" s="100">
        <f t="shared" si="186"/>
        <v>42.367894744641895</v>
      </c>
      <c r="CG240" s="96">
        <f t="shared" si="211"/>
        <v>-0.75239002426292556</v>
      </c>
      <c r="CH240" s="96">
        <f t="shared" si="168"/>
        <v>0.63093113535995538</v>
      </c>
      <c r="CJ240" s="95">
        <f t="shared" si="213"/>
        <v>3.0801687763713084E-2</v>
      </c>
      <c r="CK240" s="93">
        <f t="shared" si="197"/>
        <v>5.7516339869281046</v>
      </c>
      <c r="CL240" s="93">
        <f t="shared" si="198"/>
        <v>0.19999999999999998</v>
      </c>
      <c r="CM240" s="93">
        <f t="shared" si="199"/>
        <v>0.42826552462526768</v>
      </c>
      <c r="CN240" s="93">
        <f t="shared" si="200"/>
        <v>9.6732026143790844</v>
      </c>
      <c r="CO240" s="93">
        <f t="shared" si="201"/>
        <v>3.6206896551724133</v>
      </c>
      <c r="CP240" s="93">
        <f t="shared" si="202"/>
        <v>78.832116788321173</v>
      </c>
      <c r="CQ240" s="93">
        <f t="shared" si="203"/>
        <v>184.49197860962568</v>
      </c>
      <c r="CR240" s="93">
        <f t="shared" si="204"/>
        <v>411.02362204724409</v>
      </c>
      <c r="CS240" s="93">
        <f t="shared" si="205"/>
        <v>818.02120141342755</v>
      </c>
      <c r="CT240" s="93">
        <f t="shared" si="206"/>
        <v>1492.4471299093655</v>
      </c>
      <c r="CU240" s="93">
        <f t="shared" si="207"/>
        <v>2101.9607843137255</v>
      </c>
      <c r="CV240" s="93">
        <f t="shared" si="208"/>
        <v>3029.411764705882</v>
      </c>
      <c r="CW240" s="93">
        <f t="shared" si="209"/>
        <v>4409.4488188976384</v>
      </c>
    </row>
    <row r="241" spans="1:101" s="98" customFormat="1">
      <c r="A241" s="3" t="s">
        <v>458</v>
      </c>
      <c r="B241" s="92" t="s">
        <v>244</v>
      </c>
      <c r="C241" s="3"/>
      <c r="D241" s="93">
        <v>11.073</v>
      </c>
      <c r="E241" s="94">
        <v>0.18842</v>
      </c>
      <c r="F241" s="94">
        <v>8.0999999999999996E-4</v>
      </c>
      <c r="G241" s="95">
        <v>14.59</v>
      </c>
      <c r="H241" s="96">
        <v>0.44</v>
      </c>
      <c r="I241" s="97">
        <v>0.5635</v>
      </c>
      <c r="J241" s="95">
        <v>1.4999999999999999E-2</v>
      </c>
      <c r="K241" s="96">
        <v>0.90510999999999997</v>
      </c>
      <c r="M241" s="99">
        <v>2881</v>
      </c>
      <c r="N241" s="98">
        <v>64</v>
      </c>
      <c r="O241" s="99">
        <v>2728.1</v>
      </c>
      <c r="P241" s="98">
        <v>3.3</v>
      </c>
      <c r="Q241" s="93">
        <v>-5.6</v>
      </c>
      <c r="R241" s="97">
        <v>0</v>
      </c>
      <c r="T241" s="98">
        <v>2290</v>
      </c>
      <c r="U241" s="98">
        <v>310</v>
      </c>
      <c r="V241" s="98">
        <v>0.5</v>
      </c>
      <c r="W241" s="98">
        <v>1.5</v>
      </c>
      <c r="X241" s="98">
        <v>0.56999999999999995</v>
      </c>
      <c r="Y241" s="98">
        <v>0.31</v>
      </c>
      <c r="Z241" s="98">
        <v>12.6</v>
      </c>
      <c r="AA241" s="98">
        <v>2.2999999999999998</v>
      </c>
      <c r="AB241" s="98">
        <v>2.62</v>
      </c>
      <c r="AC241" s="98">
        <v>0.53</v>
      </c>
      <c r="AD241" s="98">
        <v>2840</v>
      </c>
      <c r="AE241" s="98">
        <v>300</v>
      </c>
      <c r="AF241" s="95">
        <v>0.38</v>
      </c>
      <c r="AG241" s="97">
        <v>0.28999999999999998</v>
      </c>
      <c r="AH241" s="96">
        <v>11.6</v>
      </c>
      <c r="AI241" s="96">
        <v>2.7</v>
      </c>
      <c r="AJ241" s="95">
        <v>0.48</v>
      </c>
      <c r="AK241" s="95">
        <v>0.28000000000000003</v>
      </c>
      <c r="AL241" s="96">
        <v>2</v>
      </c>
      <c r="AM241" s="96">
        <v>1.4</v>
      </c>
      <c r="AN241" s="96">
        <v>5.8</v>
      </c>
      <c r="AO241" s="96">
        <v>1.7</v>
      </c>
      <c r="AP241" s="96">
        <v>0.59</v>
      </c>
      <c r="AQ241" s="96">
        <v>0.27</v>
      </c>
      <c r="AR241" s="96">
        <v>40</v>
      </c>
      <c r="AS241" s="93">
        <v>6.7</v>
      </c>
      <c r="AT241" s="96">
        <v>16.3</v>
      </c>
      <c r="AU241" s="96">
        <v>1.5</v>
      </c>
      <c r="AV241" s="99">
        <v>230</v>
      </c>
      <c r="AW241" s="98">
        <v>22</v>
      </c>
      <c r="AX241" s="98">
        <v>94.5</v>
      </c>
      <c r="AY241" s="98">
        <v>9.8000000000000007</v>
      </c>
      <c r="AZ241" s="98">
        <v>489</v>
      </c>
      <c r="BA241" s="98">
        <v>54</v>
      </c>
      <c r="BB241" s="98">
        <v>103.4</v>
      </c>
      <c r="BC241" s="98">
        <v>9.8000000000000007</v>
      </c>
      <c r="BD241" s="98">
        <v>975</v>
      </c>
      <c r="BE241" s="98">
        <v>86</v>
      </c>
      <c r="BF241" s="98">
        <v>196</v>
      </c>
      <c r="BG241" s="98">
        <v>18</v>
      </c>
      <c r="BI241" s="93">
        <v>2.5</v>
      </c>
      <c r="BJ241" s="98">
        <v>2.9</v>
      </c>
      <c r="BK241" s="98">
        <v>549000</v>
      </c>
      <c r="BL241" s="98">
        <v>58000</v>
      </c>
      <c r="BM241" s="98">
        <v>10340</v>
      </c>
      <c r="BN241" s="98">
        <v>960</v>
      </c>
      <c r="BO241" s="99">
        <v>70.3</v>
      </c>
      <c r="BP241" s="98">
        <v>6</v>
      </c>
      <c r="BQ241" s="99">
        <v>164</v>
      </c>
      <c r="BR241" s="98">
        <v>14</v>
      </c>
      <c r="BT241" s="95">
        <f t="shared" si="189"/>
        <v>0.1682051282051282</v>
      </c>
      <c r="BU241" s="96">
        <f t="shared" si="190"/>
        <v>5.8</v>
      </c>
      <c r="BV241" s="96">
        <f t="shared" si="191"/>
        <v>53.094777562862667</v>
      </c>
      <c r="BW241" s="96">
        <f t="shared" si="192"/>
        <v>0.42865853658536585</v>
      </c>
      <c r="BX241" s="99">
        <f t="shared" si="212"/>
        <v>6.6593236985964159</v>
      </c>
      <c r="BY241" s="96">
        <f t="shared" si="193"/>
        <v>5.8</v>
      </c>
      <c r="BZ241" s="97">
        <f t="shared" si="194"/>
        <v>2.0422535211267606E-3</v>
      </c>
      <c r="CA241" s="95">
        <f t="shared" si="195"/>
        <v>0.11842179894146679</v>
      </c>
      <c r="CB241" s="99">
        <f t="shared" si="188"/>
        <v>268.39216937170602</v>
      </c>
      <c r="CC241" s="99">
        <f t="shared" si="188"/>
        <v>22.911526653682223</v>
      </c>
      <c r="CD241" s="100">
        <f t="shared" si="196"/>
        <v>652.04040406648426</v>
      </c>
      <c r="CE241" s="100">
        <f t="shared" si="210"/>
        <v>684.54578477235509</v>
      </c>
      <c r="CF241" s="100">
        <f t="shared" si="186"/>
        <v>99.14403708338682</v>
      </c>
      <c r="CG241" s="96">
        <f t="shared" si="211"/>
        <v>0.88790122756550605</v>
      </c>
      <c r="CH241" s="96">
        <f t="shared" ref="CH241:CH302" si="214">(4*0.1^2+4*0.12^2*LOG((AH241/(CB241*BI241)^0.5)^2)+3.99*(BJ241/2)^2/(BI241^2)+3.99^2*(CC241/2)^2/(CB241^2)+4*3.99*(AI241/2)^2/(AH241^2))^(1/2)</f>
        <v>1.2598457686518765</v>
      </c>
      <c r="CJ241" s="95">
        <f t="shared" si="213"/>
        <v>1.6033755274261605</v>
      </c>
      <c r="CK241" s="93">
        <f t="shared" si="197"/>
        <v>18.954248366013072</v>
      </c>
      <c r="CL241" s="93">
        <f t="shared" si="198"/>
        <v>5.0526315789473681</v>
      </c>
      <c r="CM241" s="93">
        <f t="shared" si="199"/>
        <v>4.2826552462526761</v>
      </c>
      <c r="CN241" s="93">
        <f t="shared" si="200"/>
        <v>37.908496732026144</v>
      </c>
      <c r="CO241" s="93">
        <f t="shared" si="201"/>
        <v>10.172413793103447</v>
      </c>
      <c r="CP241" s="93">
        <f t="shared" si="202"/>
        <v>194.64720194647202</v>
      </c>
      <c r="CQ241" s="93">
        <f t="shared" si="203"/>
        <v>435.82887700534758</v>
      </c>
      <c r="CR241" s="93">
        <f t="shared" si="204"/>
        <v>905.51181102362204</v>
      </c>
      <c r="CS241" s="93">
        <f t="shared" si="205"/>
        <v>1669.6113074204948</v>
      </c>
      <c r="CT241" s="93">
        <f t="shared" si="206"/>
        <v>2954.6827794561932</v>
      </c>
      <c r="CU241" s="93">
        <f t="shared" si="207"/>
        <v>4054.9019607843143</v>
      </c>
      <c r="CV241" s="93">
        <f t="shared" si="208"/>
        <v>5735.2941176470586</v>
      </c>
      <c r="CW241" s="93">
        <f t="shared" si="209"/>
        <v>7716.535433070866</v>
      </c>
    </row>
    <row r="242" spans="1:101" s="98" customFormat="1">
      <c r="A242" s="3" t="s">
        <v>459</v>
      </c>
      <c r="B242" s="92" t="s">
        <v>244</v>
      </c>
      <c r="C242" s="3"/>
      <c r="D242" s="93">
        <v>11.061</v>
      </c>
      <c r="E242" s="94">
        <v>0.18459999999999999</v>
      </c>
      <c r="F242" s="94">
        <v>1.1999999999999999E-3</v>
      </c>
      <c r="G242" s="95">
        <v>12.922000000000001</v>
      </c>
      <c r="H242" s="96">
        <v>0.38</v>
      </c>
      <c r="I242" s="97">
        <v>0.50919999999999999</v>
      </c>
      <c r="J242" s="95">
        <v>1.4E-2</v>
      </c>
      <c r="K242" s="96">
        <v>0.41465999999999997</v>
      </c>
      <c r="M242" s="99">
        <v>2653</v>
      </c>
      <c r="N242" s="98">
        <v>59</v>
      </c>
      <c r="O242" s="99">
        <v>2694.3</v>
      </c>
      <c r="P242" s="98">
        <v>5.7</v>
      </c>
      <c r="Q242" s="93">
        <v>1.47</v>
      </c>
      <c r="R242" s="97">
        <v>4.3E-3</v>
      </c>
      <c r="T242" s="98">
        <v>470</v>
      </c>
      <c r="U242" s="98">
        <v>150</v>
      </c>
      <c r="V242" s="98" t="s">
        <v>250</v>
      </c>
      <c r="W242" s="98" t="s">
        <v>250</v>
      </c>
      <c r="X242" s="98">
        <v>0.52</v>
      </c>
      <c r="Y242" s="98">
        <v>0.36</v>
      </c>
      <c r="Z242" s="98">
        <v>5.6</v>
      </c>
      <c r="AA242" s="98">
        <v>1.1000000000000001</v>
      </c>
      <c r="AB242" s="98">
        <v>1.1200000000000001</v>
      </c>
      <c r="AC242" s="98">
        <v>0.47</v>
      </c>
      <c r="AD242" s="98">
        <v>2260</v>
      </c>
      <c r="AE242" s="98">
        <v>250</v>
      </c>
      <c r="AF242" s="95">
        <v>5.0999999999999997E-2</v>
      </c>
      <c r="AG242" s="97">
        <v>1.7000000000000001E-2</v>
      </c>
      <c r="AH242" s="96">
        <v>4.1900000000000004</v>
      </c>
      <c r="AI242" s="96">
        <v>0.67</v>
      </c>
      <c r="AJ242" s="95">
        <v>9.7000000000000003E-2</v>
      </c>
      <c r="AK242" s="95">
        <v>3.5999999999999997E-2</v>
      </c>
      <c r="AL242" s="96">
        <v>1.24</v>
      </c>
      <c r="AM242" s="96">
        <v>0.56999999999999995</v>
      </c>
      <c r="AN242" s="96">
        <v>4.7</v>
      </c>
      <c r="AO242" s="96">
        <v>1.1000000000000001</v>
      </c>
      <c r="AP242" s="96">
        <v>0.56000000000000005</v>
      </c>
      <c r="AQ242" s="96">
        <v>0.18</v>
      </c>
      <c r="AR242" s="96">
        <v>34.799999999999997</v>
      </c>
      <c r="AS242" s="93">
        <v>5.3</v>
      </c>
      <c r="AT242" s="96">
        <v>15</v>
      </c>
      <c r="AU242" s="96">
        <v>2.4</v>
      </c>
      <c r="AV242" s="99">
        <v>206</v>
      </c>
      <c r="AW242" s="98">
        <v>21</v>
      </c>
      <c r="AX242" s="98">
        <v>78.099999999999994</v>
      </c>
      <c r="AY242" s="98">
        <v>8.9</v>
      </c>
      <c r="AZ242" s="98">
        <v>412</v>
      </c>
      <c r="BA242" s="98">
        <v>49</v>
      </c>
      <c r="BB242" s="98">
        <v>88</v>
      </c>
      <c r="BC242" s="98">
        <v>11</v>
      </c>
      <c r="BD242" s="98">
        <v>810</v>
      </c>
      <c r="BE242" s="98">
        <v>100</v>
      </c>
      <c r="BF242" s="98">
        <v>161</v>
      </c>
      <c r="BG242" s="98">
        <v>19</v>
      </c>
      <c r="BI242" s="93">
        <v>4.7</v>
      </c>
      <c r="BJ242" s="98">
        <v>2.7</v>
      </c>
      <c r="BK242" s="98">
        <v>580000</v>
      </c>
      <c r="BL242" s="98">
        <v>66000</v>
      </c>
      <c r="BM242" s="98">
        <v>9700</v>
      </c>
      <c r="BN242" s="98">
        <v>1000</v>
      </c>
      <c r="BO242" s="99">
        <v>34.799999999999997</v>
      </c>
      <c r="BP242" s="98">
        <v>3.5</v>
      </c>
      <c r="BQ242" s="99">
        <v>78.900000000000006</v>
      </c>
      <c r="BR242" s="98">
        <v>7.9</v>
      </c>
      <c r="BT242" s="95">
        <f t="shared" si="189"/>
        <v>9.7407407407407415E-2</v>
      </c>
      <c r="BU242" s="96">
        <f t="shared" si="190"/>
        <v>3.3790322580645165</v>
      </c>
      <c r="BV242" s="96">
        <f t="shared" si="191"/>
        <v>59.793814432989691</v>
      </c>
      <c r="BW242" s="96">
        <f t="shared" si="192"/>
        <v>0.4410646387832699</v>
      </c>
      <c r="BX242" s="99">
        <f t="shared" si="212"/>
        <v>14.605876403965544</v>
      </c>
      <c r="BY242" s="96">
        <f t="shared" si="193"/>
        <v>3.3790322580645165</v>
      </c>
      <c r="BZ242" s="97">
        <f t="shared" si="194"/>
        <v>1.4951470168427063E-3</v>
      </c>
      <c r="CA242" s="95">
        <f t="shared" si="195"/>
        <v>0.1338668705978974</v>
      </c>
      <c r="CB242" s="99">
        <f t="shared" si="188"/>
        <v>129.12281806968053</v>
      </c>
      <c r="CC242" s="99">
        <f t="shared" si="188"/>
        <v>12.928647183149256</v>
      </c>
      <c r="CD242" s="100">
        <f t="shared" si="196"/>
        <v>703.65825108924321</v>
      </c>
      <c r="CE242" s="100">
        <f t="shared" si="210"/>
        <v>739.96302873525235</v>
      </c>
      <c r="CF242" s="100">
        <f t="shared" si="186"/>
        <v>55.386858038540545</v>
      </c>
      <c r="CG242" s="96">
        <f t="shared" si="211"/>
        <v>-0.78965225164305775</v>
      </c>
      <c r="CH242" s="96">
        <f t="shared" si="214"/>
        <v>0.64998795453258229</v>
      </c>
      <c r="CJ242" s="95">
        <f t="shared" si="213"/>
        <v>0.21518987341772153</v>
      </c>
      <c r="CK242" s="93">
        <f t="shared" si="197"/>
        <v>6.8464052287581705</v>
      </c>
      <c r="CL242" s="93">
        <f t="shared" si="198"/>
        <v>1.0210526315789474</v>
      </c>
      <c r="CM242" s="93">
        <f t="shared" si="199"/>
        <v>2.6552462526766591</v>
      </c>
      <c r="CN242" s="93">
        <f t="shared" si="200"/>
        <v>30.718954248366014</v>
      </c>
      <c r="CO242" s="93">
        <f t="shared" si="201"/>
        <v>9.6551724137931032</v>
      </c>
      <c r="CP242" s="93">
        <f t="shared" si="202"/>
        <v>169.34306569343065</v>
      </c>
      <c r="CQ242" s="93">
        <f t="shared" si="203"/>
        <v>401.06951871657753</v>
      </c>
      <c r="CR242" s="93">
        <f t="shared" si="204"/>
        <v>811.02362204724409</v>
      </c>
      <c r="CS242" s="93">
        <f t="shared" si="205"/>
        <v>1379.8586572438162</v>
      </c>
      <c r="CT242" s="93">
        <f t="shared" si="206"/>
        <v>2489.4259818731116</v>
      </c>
      <c r="CU242" s="93">
        <f t="shared" si="207"/>
        <v>3450.9803921568628</v>
      </c>
      <c r="CV242" s="93">
        <f t="shared" si="208"/>
        <v>4764.7058823529405</v>
      </c>
      <c r="CW242" s="93">
        <f t="shared" si="209"/>
        <v>6338.5826771653547</v>
      </c>
    </row>
    <row r="243" spans="1:101" s="98" customFormat="1">
      <c r="A243" s="3" t="s">
        <v>460</v>
      </c>
      <c r="B243" s="92" t="s">
        <v>244</v>
      </c>
      <c r="C243" s="3"/>
      <c r="D243" s="93">
        <v>11.054</v>
      </c>
      <c r="E243" s="94">
        <v>0.18587999999999999</v>
      </c>
      <c r="F243" s="94">
        <v>1E-3</v>
      </c>
      <c r="G243" s="95">
        <v>13.116</v>
      </c>
      <c r="H243" s="96">
        <v>0.38</v>
      </c>
      <c r="I243" s="97">
        <v>0.51359999999999995</v>
      </c>
      <c r="J243" s="95">
        <v>1.4E-2</v>
      </c>
      <c r="K243" s="96">
        <v>0.23749999999999999</v>
      </c>
      <c r="M243" s="99">
        <v>2672</v>
      </c>
      <c r="N243" s="98">
        <v>59</v>
      </c>
      <c r="O243" s="99">
        <v>2708</v>
      </c>
      <c r="P243" s="98">
        <v>4</v>
      </c>
      <c r="Q243" s="93">
        <v>1.28</v>
      </c>
      <c r="R243" s="97">
        <v>3.7799999999999999E-3</v>
      </c>
      <c r="T243" s="98">
        <v>480</v>
      </c>
      <c r="U243" s="98">
        <v>92</v>
      </c>
      <c r="V243" s="98" t="s">
        <v>250</v>
      </c>
      <c r="W243" s="98" t="s">
        <v>250</v>
      </c>
      <c r="X243" s="98">
        <v>0.31</v>
      </c>
      <c r="Y243" s="98">
        <v>0.19</v>
      </c>
      <c r="Z243" s="98">
        <v>3.95</v>
      </c>
      <c r="AA243" s="98">
        <v>0.71</v>
      </c>
      <c r="AB243" s="98">
        <v>1.35</v>
      </c>
      <c r="AC243" s="98">
        <v>0.38</v>
      </c>
      <c r="AD243" s="98">
        <v>1680</v>
      </c>
      <c r="AE243" s="98">
        <v>140</v>
      </c>
      <c r="AF243" s="95">
        <v>0.1</v>
      </c>
      <c r="AG243" s="97">
        <v>2.9000000000000001E-2</v>
      </c>
      <c r="AH243" s="96">
        <v>3.57</v>
      </c>
      <c r="AI243" s="96">
        <v>0.74</v>
      </c>
      <c r="AJ243" s="95">
        <v>0.11799999999999999</v>
      </c>
      <c r="AK243" s="95">
        <v>3.3000000000000002E-2</v>
      </c>
      <c r="AL243" s="96">
        <v>1.5</v>
      </c>
      <c r="AM243" s="96">
        <v>0.46</v>
      </c>
      <c r="AN243" s="96">
        <v>3.6</v>
      </c>
      <c r="AO243" s="96">
        <v>1.2</v>
      </c>
      <c r="AP243" s="96">
        <v>0.49</v>
      </c>
      <c r="AQ243" s="96">
        <v>0.18</v>
      </c>
      <c r="AR243" s="96">
        <v>26.3</v>
      </c>
      <c r="AS243" s="93">
        <v>4</v>
      </c>
      <c r="AT243" s="96">
        <v>10.4</v>
      </c>
      <c r="AU243" s="96">
        <v>1.3</v>
      </c>
      <c r="AV243" s="99">
        <v>144</v>
      </c>
      <c r="AW243" s="98">
        <v>18</v>
      </c>
      <c r="AX243" s="98">
        <v>58.1</v>
      </c>
      <c r="AY243" s="98">
        <v>3.4</v>
      </c>
      <c r="AZ243" s="98">
        <v>304</v>
      </c>
      <c r="BA243" s="98">
        <v>20</v>
      </c>
      <c r="BB243" s="98">
        <v>67.2</v>
      </c>
      <c r="BC243" s="98">
        <v>7</v>
      </c>
      <c r="BD243" s="98">
        <v>620</v>
      </c>
      <c r="BE243" s="98">
        <v>60</v>
      </c>
      <c r="BF243" s="98">
        <v>120.6</v>
      </c>
      <c r="BG243" s="98">
        <v>7.9</v>
      </c>
      <c r="BI243" s="93">
        <v>1.9</v>
      </c>
      <c r="BJ243" s="98">
        <v>2.4</v>
      </c>
      <c r="BK243" s="98">
        <v>499000</v>
      </c>
      <c r="BL243" s="98">
        <v>53000</v>
      </c>
      <c r="BM243" s="98">
        <v>8360</v>
      </c>
      <c r="BN243" s="98">
        <v>730</v>
      </c>
      <c r="BO243" s="99">
        <v>32.200000000000003</v>
      </c>
      <c r="BP243" s="98">
        <v>2</v>
      </c>
      <c r="BQ243" s="99">
        <v>75.099999999999994</v>
      </c>
      <c r="BR243" s="98">
        <v>4.5</v>
      </c>
      <c r="BT243" s="95">
        <f t="shared" si="189"/>
        <v>0.12112903225806451</v>
      </c>
      <c r="BU243" s="96">
        <f t="shared" si="190"/>
        <v>2.38</v>
      </c>
      <c r="BV243" s="96">
        <f t="shared" si="191"/>
        <v>59.688995215311003</v>
      </c>
      <c r="BW243" s="96">
        <f t="shared" si="192"/>
        <v>0.4287616511318243</v>
      </c>
      <c r="BX243" s="99">
        <f t="shared" si="212"/>
        <v>8.0577124685600872</v>
      </c>
      <c r="BY243" s="96">
        <f t="shared" si="193"/>
        <v>2.38</v>
      </c>
      <c r="BZ243" s="97">
        <f t="shared" si="194"/>
        <v>1.4166666666666666E-3</v>
      </c>
      <c r="CA243" s="95">
        <f t="shared" si="195"/>
        <v>0.15395386288938523</v>
      </c>
      <c r="CB243" s="99">
        <f t="shared" si="188"/>
        <v>122.90397512082392</v>
      </c>
      <c r="CC243" s="99">
        <f t="shared" si="188"/>
        <v>7.3644192815407141</v>
      </c>
      <c r="CD243" s="100">
        <f t="shared" si="196"/>
        <v>631.26336837711267</v>
      </c>
      <c r="CE243" s="100">
        <f t="shared" si="210"/>
        <v>662.30070460002275</v>
      </c>
      <c r="CF243" s="100">
        <f t="shared" si="186"/>
        <v>103.20376547999203</v>
      </c>
      <c r="CG243" s="96">
        <f t="shared" si="211"/>
        <v>-0.23965128123058532</v>
      </c>
      <c r="CH243" s="96">
        <f t="shared" si="214"/>
        <v>1.3208165055161467</v>
      </c>
      <c r="CJ243" s="95">
        <f t="shared" si="213"/>
        <v>0.42194092827004226</v>
      </c>
      <c r="CK243" s="93">
        <f t="shared" si="197"/>
        <v>5.833333333333333</v>
      </c>
      <c r="CL243" s="93">
        <f t="shared" si="198"/>
        <v>1.2421052631578946</v>
      </c>
      <c r="CM243" s="93">
        <f t="shared" si="199"/>
        <v>3.2119914346895073</v>
      </c>
      <c r="CN243" s="93">
        <f t="shared" si="200"/>
        <v>23.529411764705884</v>
      </c>
      <c r="CO243" s="93">
        <f t="shared" si="201"/>
        <v>8.4482758620689644</v>
      </c>
      <c r="CP243" s="93">
        <f t="shared" si="202"/>
        <v>127.98053527980537</v>
      </c>
      <c r="CQ243" s="93">
        <f t="shared" si="203"/>
        <v>278.07486631016042</v>
      </c>
      <c r="CR243" s="93">
        <f t="shared" si="204"/>
        <v>566.92913385826773</v>
      </c>
      <c r="CS243" s="93">
        <f t="shared" si="205"/>
        <v>1026.5017667844525</v>
      </c>
      <c r="CT243" s="93">
        <f t="shared" si="206"/>
        <v>1836.858006042296</v>
      </c>
      <c r="CU243" s="93">
        <f t="shared" si="207"/>
        <v>2635.294117647059</v>
      </c>
      <c r="CV243" s="93">
        <f t="shared" si="208"/>
        <v>3647.0588235294117</v>
      </c>
      <c r="CW243" s="93">
        <f t="shared" si="209"/>
        <v>4748.0314960629921</v>
      </c>
    </row>
    <row r="244" spans="1:101" s="98" customFormat="1">
      <c r="A244" s="3" t="s">
        <v>461</v>
      </c>
      <c r="B244" s="92" t="s">
        <v>244</v>
      </c>
      <c r="C244" s="3"/>
      <c r="D244" s="93">
        <v>11.066000000000001</v>
      </c>
      <c r="E244" s="94">
        <v>0.18498999999999999</v>
      </c>
      <c r="F244" s="94">
        <v>7.2999999999999996E-4</v>
      </c>
      <c r="G244" s="95">
        <v>13.654999999999999</v>
      </c>
      <c r="H244" s="96">
        <v>0.4</v>
      </c>
      <c r="I244" s="97">
        <v>0.5373</v>
      </c>
      <c r="J244" s="95">
        <v>1.4999999999999999E-2</v>
      </c>
      <c r="K244" s="96">
        <v>0.59267999999999998</v>
      </c>
      <c r="M244" s="99">
        <v>2772.1</v>
      </c>
      <c r="N244" s="98">
        <v>61</v>
      </c>
      <c r="O244" s="99">
        <v>2698.1</v>
      </c>
      <c r="P244" s="98">
        <v>3.6</v>
      </c>
      <c r="Q244" s="93">
        <v>-2.75</v>
      </c>
      <c r="R244" s="97">
        <v>0</v>
      </c>
      <c r="T244" s="98">
        <v>400</v>
      </c>
      <c r="U244" s="98">
        <v>130</v>
      </c>
      <c r="V244" s="98" t="s">
        <v>250</v>
      </c>
      <c r="W244" s="98" t="s">
        <v>250</v>
      </c>
      <c r="X244" s="98">
        <v>0.31</v>
      </c>
      <c r="Y244" s="98">
        <v>0.27</v>
      </c>
      <c r="Z244" s="98">
        <v>8.4</v>
      </c>
      <c r="AA244" s="98">
        <v>1.4</v>
      </c>
      <c r="AB244" s="98">
        <v>1.35</v>
      </c>
      <c r="AC244" s="98">
        <v>0.41</v>
      </c>
      <c r="AD244" s="98">
        <v>2070</v>
      </c>
      <c r="AE244" s="98">
        <v>190</v>
      </c>
      <c r="AF244" s="95">
        <v>5.8999999999999999E-3</v>
      </c>
      <c r="AG244" s="97">
        <v>7.7999999999999996E-3</v>
      </c>
      <c r="AH244" s="96">
        <v>7.28</v>
      </c>
      <c r="AI244" s="96">
        <v>0.93</v>
      </c>
      <c r="AJ244" s="95">
        <v>1.0999999999999999E-2</v>
      </c>
      <c r="AK244" s="95">
        <v>1.2999999999999999E-2</v>
      </c>
      <c r="AL244" s="96">
        <v>1.63</v>
      </c>
      <c r="AM244" s="96">
        <v>0.69</v>
      </c>
      <c r="AN244" s="96">
        <v>4.0999999999999996</v>
      </c>
      <c r="AO244" s="96">
        <v>1.3</v>
      </c>
      <c r="AP244" s="96">
        <v>0.56999999999999995</v>
      </c>
      <c r="AQ244" s="96">
        <v>0.24</v>
      </c>
      <c r="AR244" s="96">
        <v>37.700000000000003</v>
      </c>
      <c r="AS244" s="93">
        <v>4.5999999999999996</v>
      </c>
      <c r="AT244" s="96">
        <v>13.6</v>
      </c>
      <c r="AU244" s="96">
        <v>1.8</v>
      </c>
      <c r="AV244" s="99">
        <v>181</v>
      </c>
      <c r="AW244" s="98">
        <v>10</v>
      </c>
      <c r="AX244" s="98">
        <v>72.2</v>
      </c>
      <c r="AY244" s="98">
        <v>7.1</v>
      </c>
      <c r="AZ244" s="98">
        <v>358</v>
      </c>
      <c r="BA244" s="98">
        <v>36</v>
      </c>
      <c r="BB244" s="98">
        <v>74.099999999999994</v>
      </c>
      <c r="BC244" s="98">
        <v>7.6</v>
      </c>
      <c r="BD244" s="98">
        <v>660</v>
      </c>
      <c r="BE244" s="98">
        <v>66</v>
      </c>
      <c r="BF244" s="98">
        <v>144</v>
      </c>
      <c r="BG244" s="98">
        <v>18</v>
      </c>
      <c r="BI244" s="93">
        <v>2.2999999999999998</v>
      </c>
      <c r="BJ244" s="98">
        <v>2.1</v>
      </c>
      <c r="BK244" s="98">
        <v>567000</v>
      </c>
      <c r="BL244" s="98">
        <v>65000</v>
      </c>
      <c r="BM244" s="98">
        <v>10300</v>
      </c>
      <c r="BN244" s="98">
        <v>1100</v>
      </c>
      <c r="BO244" s="99">
        <v>51.6</v>
      </c>
      <c r="BP244" s="98">
        <v>4.0999999999999996</v>
      </c>
      <c r="BQ244" s="99">
        <v>107.9</v>
      </c>
      <c r="BR244" s="98">
        <v>8.8000000000000007</v>
      </c>
      <c r="BT244" s="95">
        <f t="shared" si="189"/>
        <v>0.16348484848484848</v>
      </c>
      <c r="BU244" s="96">
        <f t="shared" si="190"/>
        <v>4.4662576687116573</v>
      </c>
      <c r="BV244" s="96">
        <f t="shared" si="191"/>
        <v>55.04854368932039</v>
      </c>
      <c r="BW244" s="96">
        <f t="shared" si="192"/>
        <v>0.47822057460611678</v>
      </c>
      <c r="BX244" s="99">
        <f t="shared" si="212"/>
        <v>221.56113661154606</v>
      </c>
      <c r="BY244" s="96">
        <f t="shared" si="193"/>
        <v>4.4662576687116573</v>
      </c>
      <c r="BZ244" s="97">
        <f t="shared" si="194"/>
        <v>2.1576124003437956E-3</v>
      </c>
      <c r="CA244" s="95">
        <f t="shared" si="195"/>
        <v>0.14016380773307782</v>
      </c>
      <c r="CB244" s="99">
        <f t="shared" si="188"/>
        <v>176.58240899516514</v>
      </c>
      <c r="CC244" s="99">
        <f t="shared" si="188"/>
        <v>14.401531039457398</v>
      </c>
      <c r="CD244" s="100">
        <f t="shared" si="196"/>
        <v>645.62749893398575</v>
      </c>
      <c r="CE244" s="100">
        <f t="shared" si="210"/>
        <v>677.67601823733116</v>
      </c>
      <c r="CF244" s="100">
        <f t="shared" si="186"/>
        <v>77.236816610853978</v>
      </c>
      <c r="CG244" s="96">
        <f t="shared" si="211"/>
        <v>0.51559703316748728</v>
      </c>
      <c r="CH244" s="96">
        <f t="shared" si="214"/>
        <v>0.95509668133204806</v>
      </c>
      <c r="CJ244" s="95">
        <f t="shared" si="213"/>
        <v>2.4894514767932491E-2</v>
      </c>
      <c r="CK244" s="93">
        <f t="shared" si="197"/>
        <v>11.895424836601308</v>
      </c>
      <c r="CL244" s="93">
        <f t="shared" si="198"/>
        <v>0.11578947368421051</v>
      </c>
      <c r="CM244" s="93">
        <f t="shared" si="199"/>
        <v>3.4903640256959312</v>
      </c>
      <c r="CN244" s="93">
        <f t="shared" si="200"/>
        <v>26.79738562091503</v>
      </c>
      <c r="CO244" s="93">
        <f t="shared" si="201"/>
        <v>9.8275862068965498</v>
      </c>
      <c r="CP244" s="93">
        <f t="shared" si="202"/>
        <v>183.45498783454991</v>
      </c>
      <c r="CQ244" s="93">
        <f t="shared" si="203"/>
        <v>363.63636363636363</v>
      </c>
      <c r="CR244" s="93">
        <f t="shared" si="204"/>
        <v>712.59842519685037</v>
      </c>
      <c r="CS244" s="93">
        <f t="shared" si="205"/>
        <v>1275.6183745583039</v>
      </c>
      <c r="CT244" s="93">
        <f t="shared" si="206"/>
        <v>2163.141993957704</v>
      </c>
      <c r="CU244" s="93">
        <f t="shared" si="207"/>
        <v>2905.8823529411766</v>
      </c>
      <c r="CV244" s="93">
        <f t="shared" si="208"/>
        <v>3882.3529411764703</v>
      </c>
      <c r="CW244" s="93">
        <f t="shared" si="209"/>
        <v>5669.2913385826778</v>
      </c>
    </row>
    <row r="245" spans="1:101" s="98" customFormat="1">
      <c r="A245" s="3" t="s">
        <v>462</v>
      </c>
      <c r="B245" s="92" t="s">
        <v>244</v>
      </c>
      <c r="C245" s="3"/>
      <c r="D245" s="93">
        <v>11.004</v>
      </c>
      <c r="E245" s="94">
        <v>0.19009999999999999</v>
      </c>
      <c r="F245" s="94">
        <v>1.6000000000000001E-3</v>
      </c>
      <c r="G245" s="95">
        <v>13.24</v>
      </c>
      <c r="H245" s="96">
        <v>0.41</v>
      </c>
      <c r="I245" s="97">
        <v>0.50749999999999995</v>
      </c>
      <c r="J245" s="95">
        <v>1.4E-2</v>
      </c>
      <c r="K245" s="96">
        <v>0.81525000000000003</v>
      </c>
      <c r="M245" s="99">
        <v>2646</v>
      </c>
      <c r="N245" s="98">
        <v>59</v>
      </c>
      <c r="O245" s="99">
        <v>2743</v>
      </c>
      <c r="P245" s="98">
        <v>12</v>
      </c>
      <c r="Q245" s="93">
        <v>3.64</v>
      </c>
      <c r="R245" s="97">
        <v>1.2E-2</v>
      </c>
      <c r="T245" s="98">
        <v>830</v>
      </c>
      <c r="U245" s="98">
        <v>160</v>
      </c>
      <c r="V245" s="98">
        <v>1.3</v>
      </c>
      <c r="W245" s="98">
        <v>1.3</v>
      </c>
      <c r="X245" s="98">
        <v>0.25</v>
      </c>
      <c r="Y245" s="98">
        <v>0.21</v>
      </c>
      <c r="Z245" s="98">
        <v>5.5</v>
      </c>
      <c r="AA245" s="98">
        <v>1.6</v>
      </c>
      <c r="AB245" s="98">
        <v>1.29</v>
      </c>
      <c r="AC245" s="98">
        <v>0.45</v>
      </c>
      <c r="AD245" s="98">
        <v>1760</v>
      </c>
      <c r="AE245" s="98">
        <v>180</v>
      </c>
      <c r="AF245" s="95">
        <v>4.2000000000000003E-2</v>
      </c>
      <c r="AG245" s="97">
        <v>2.1000000000000001E-2</v>
      </c>
      <c r="AH245" s="96">
        <v>4.3899999999999997</v>
      </c>
      <c r="AI245" s="96">
        <v>0.78</v>
      </c>
      <c r="AJ245" s="95">
        <v>3.6999999999999998E-2</v>
      </c>
      <c r="AK245" s="95">
        <v>2.1999999999999999E-2</v>
      </c>
      <c r="AL245" s="96">
        <v>0.86</v>
      </c>
      <c r="AM245" s="96">
        <v>0.45</v>
      </c>
      <c r="AN245" s="96">
        <v>3.1</v>
      </c>
      <c r="AO245" s="96">
        <v>1.3</v>
      </c>
      <c r="AP245" s="96">
        <v>0.5</v>
      </c>
      <c r="AQ245" s="96">
        <v>0.16</v>
      </c>
      <c r="AR245" s="96">
        <v>25</v>
      </c>
      <c r="AS245" s="93">
        <v>5.2</v>
      </c>
      <c r="AT245" s="96">
        <v>9.9</v>
      </c>
      <c r="AU245" s="96">
        <v>1.5</v>
      </c>
      <c r="AV245" s="99">
        <v>141</v>
      </c>
      <c r="AW245" s="98">
        <v>15</v>
      </c>
      <c r="AX245" s="98">
        <v>61.3</v>
      </c>
      <c r="AY245" s="98">
        <v>6</v>
      </c>
      <c r="AZ245" s="98">
        <v>298</v>
      </c>
      <c r="BA245" s="98">
        <v>27</v>
      </c>
      <c r="BB245" s="98">
        <v>67.5</v>
      </c>
      <c r="BC245" s="98">
        <v>7.2</v>
      </c>
      <c r="BD245" s="98">
        <v>621</v>
      </c>
      <c r="BE245" s="98">
        <v>73</v>
      </c>
      <c r="BF245" s="98">
        <v>132</v>
      </c>
      <c r="BG245" s="98">
        <v>15</v>
      </c>
      <c r="BI245" s="93">
        <v>2.8</v>
      </c>
      <c r="BJ245" s="98">
        <v>2.8</v>
      </c>
      <c r="BK245" s="98">
        <v>561000</v>
      </c>
      <c r="BL245" s="98">
        <v>70000</v>
      </c>
      <c r="BM245" s="98">
        <v>10600</v>
      </c>
      <c r="BN245" s="98">
        <v>1200</v>
      </c>
      <c r="BO245" s="99">
        <v>29</v>
      </c>
      <c r="BP245" s="98">
        <v>2.7</v>
      </c>
      <c r="BQ245" s="99">
        <v>72.7</v>
      </c>
      <c r="BR245" s="98">
        <v>6.8</v>
      </c>
      <c r="BT245" s="95">
        <f t="shared" si="189"/>
        <v>0.11706924315619968</v>
      </c>
      <c r="BU245" s="96">
        <f t="shared" si="190"/>
        <v>5.104651162790697</v>
      </c>
      <c r="BV245" s="96">
        <f t="shared" si="191"/>
        <v>52.924528301886795</v>
      </c>
      <c r="BW245" s="96">
        <f t="shared" si="192"/>
        <v>0.39889958734525444</v>
      </c>
      <c r="BX245" s="99">
        <f t="shared" si="212"/>
        <v>27.303829701565633</v>
      </c>
      <c r="BY245" s="96">
        <f t="shared" si="193"/>
        <v>5.104651162790697</v>
      </c>
      <c r="BZ245" s="97">
        <f t="shared" si="194"/>
        <v>2.9003699788583506E-3</v>
      </c>
      <c r="CA245" s="95">
        <f t="shared" si="195"/>
        <v>0.1736372056216525</v>
      </c>
      <c r="CB245" s="99">
        <f t="shared" si="188"/>
        <v>118.97628483733554</v>
      </c>
      <c r="CC245" s="99">
        <f t="shared" si="188"/>
        <v>11.128455803217079</v>
      </c>
      <c r="CD245" s="100">
        <f t="shared" si="196"/>
        <v>660.90144702163991</v>
      </c>
      <c r="CE245" s="100">
        <f t="shared" si="210"/>
        <v>694.04360437595142</v>
      </c>
      <c r="CF245" s="100">
        <f t="shared" si="186"/>
        <v>87.225072325741536</v>
      </c>
      <c r="CG245" s="96">
        <f t="shared" si="211"/>
        <v>-0.18919034171947002</v>
      </c>
      <c r="CH245" s="96">
        <f t="shared" si="214"/>
        <v>1.0615977079014542</v>
      </c>
      <c r="CJ245" s="95">
        <f t="shared" si="213"/>
        <v>0.17721518987341775</v>
      </c>
      <c r="CK245" s="93">
        <f t="shared" si="197"/>
        <v>7.1732026143790844</v>
      </c>
      <c r="CL245" s="93">
        <f t="shared" si="198"/>
        <v>0.38947368421052631</v>
      </c>
      <c r="CM245" s="93">
        <f t="shared" si="199"/>
        <v>1.8415417558886509</v>
      </c>
      <c r="CN245" s="93">
        <f t="shared" si="200"/>
        <v>20.261437908496735</v>
      </c>
      <c r="CO245" s="93">
        <f t="shared" si="201"/>
        <v>8.6206896551724128</v>
      </c>
      <c r="CP245" s="93">
        <f t="shared" si="202"/>
        <v>121.65450121654501</v>
      </c>
      <c r="CQ245" s="93">
        <f t="shared" si="203"/>
        <v>264.70588235294116</v>
      </c>
      <c r="CR245" s="93">
        <f t="shared" si="204"/>
        <v>555.11811023622045</v>
      </c>
      <c r="CS245" s="93">
        <f t="shared" si="205"/>
        <v>1083.0388692579506</v>
      </c>
      <c r="CT245" s="93">
        <f t="shared" si="206"/>
        <v>1800.6042296072508</v>
      </c>
      <c r="CU245" s="93">
        <f t="shared" si="207"/>
        <v>2647.0588235294117</v>
      </c>
      <c r="CV245" s="93">
        <f t="shared" si="208"/>
        <v>3652.9411764705878</v>
      </c>
      <c r="CW245" s="93">
        <f t="shared" si="209"/>
        <v>5196.8503937007872</v>
      </c>
    </row>
    <row r="246" spans="1:101" s="98" customFormat="1">
      <c r="A246" s="3" t="s">
        <v>463</v>
      </c>
      <c r="B246" s="92" t="s">
        <v>244</v>
      </c>
      <c r="C246" s="3"/>
      <c r="D246" s="93">
        <v>11.185</v>
      </c>
      <c r="E246" s="94">
        <v>0.18459999999999999</v>
      </c>
      <c r="F246" s="94">
        <v>1.2999999999999999E-3</v>
      </c>
      <c r="G246" s="95">
        <v>13.25</v>
      </c>
      <c r="H246" s="96">
        <v>0.4</v>
      </c>
      <c r="I246" s="97">
        <v>0.52249999999999996</v>
      </c>
      <c r="J246" s="95">
        <v>1.4E-2</v>
      </c>
      <c r="K246" s="96">
        <v>0.61872000000000005</v>
      </c>
      <c r="M246" s="99">
        <v>2710</v>
      </c>
      <c r="N246" s="98">
        <v>61</v>
      </c>
      <c r="O246" s="99">
        <v>2694.4</v>
      </c>
      <c r="P246" s="98">
        <v>7</v>
      </c>
      <c r="Q246" s="93">
        <v>-0.56999999999999995</v>
      </c>
      <c r="R246" s="97">
        <v>1.9E-3</v>
      </c>
      <c r="T246" s="98">
        <v>300</v>
      </c>
      <c r="U246" s="98">
        <v>120</v>
      </c>
      <c r="V246" s="98" t="s">
        <v>250</v>
      </c>
      <c r="W246" s="98" t="s">
        <v>250</v>
      </c>
      <c r="X246" s="98">
        <v>0.27</v>
      </c>
      <c r="Y246" s="98">
        <v>0.2</v>
      </c>
      <c r="Z246" s="98">
        <v>4.3</v>
      </c>
      <c r="AA246" s="98">
        <v>1.3</v>
      </c>
      <c r="AB246" s="98">
        <v>0.84</v>
      </c>
      <c r="AC246" s="98">
        <v>0.33</v>
      </c>
      <c r="AD246" s="98">
        <v>1550</v>
      </c>
      <c r="AE246" s="98">
        <v>170</v>
      </c>
      <c r="AF246" s="95">
        <v>5.5E-2</v>
      </c>
      <c r="AG246" s="97">
        <v>3.5000000000000003E-2</v>
      </c>
      <c r="AH246" s="96">
        <v>3.03</v>
      </c>
      <c r="AI246" s="96">
        <v>0.72</v>
      </c>
      <c r="AJ246" s="95">
        <v>5.2999999999999999E-2</v>
      </c>
      <c r="AK246" s="95">
        <v>3.3000000000000002E-2</v>
      </c>
      <c r="AL246" s="96">
        <v>0.75</v>
      </c>
      <c r="AM246" s="96">
        <v>0.48</v>
      </c>
      <c r="AN246" s="96">
        <v>2.93</v>
      </c>
      <c r="AO246" s="96">
        <v>0.87</v>
      </c>
      <c r="AP246" s="96">
        <v>0.61</v>
      </c>
      <c r="AQ246" s="96">
        <v>0.25</v>
      </c>
      <c r="AR246" s="96">
        <v>19.899999999999999</v>
      </c>
      <c r="AS246" s="93">
        <v>3.1</v>
      </c>
      <c r="AT246" s="96">
        <v>8.8000000000000007</v>
      </c>
      <c r="AU246" s="96">
        <v>1.3</v>
      </c>
      <c r="AV246" s="99">
        <v>124</v>
      </c>
      <c r="AW246" s="98">
        <v>13</v>
      </c>
      <c r="AX246" s="98">
        <v>54.3</v>
      </c>
      <c r="AY246" s="98">
        <v>5.0999999999999996</v>
      </c>
      <c r="AZ246" s="98">
        <v>297</v>
      </c>
      <c r="BA246" s="98">
        <v>31</v>
      </c>
      <c r="BB246" s="98">
        <v>66</v>
      </c>
      <c r="BC246" s="98">
        <v>7.9</v>
      </c>
      <c r="BD246" s="98">
        <v>560</v>
      </c>
      <c r="BE246" s="98">
        <v>64</v>
      </c>
      <c r="BF246" s="98">
        <v>121</v>
      </c>
      <c r="BG246" s="98">
        <v>13</v>
      </c>
      <c r="BI246" s="93">
        <v>1.4</v>
      </c>
      <c r="BJ246" s="98">
        <v>2.7</v>
      </c>
      <c r="BK246" s="98">
        <v>557000</v>
      </c>
      <c r="BL246" s="98">
        <v>64000</v>
      </c>
      <c r="BM246" s="98">
        <v>9240</v>
      </c>
      <c r="BN246" s="98">
        <v>990</v>
      </c>
      <c r="BO246" s="99">
        <v>24.9</v>
      </c>
      <c r="BP246" s="98">
        <v>2.1</v>
      </c>
      <c r="BQ246" s="99">
        <v>66.599999999999994</v>
      </c>
      <c r="BR246" s="98">
        <v>5.6</v>
      </c>
      <c r="BT246" s="95">
        <f t="shared" si="189"/>
        <v>0.11892857142857143</v>
      </c>
      <c r="BU246" s="96">
        <f t="shared" si="190"/>
        <v>4.04</v>
      </c>
      <c r="BV246" s="96">
        <f t="shared" si="191"/>
        <v>60.281385281385283</v>
      </c>
      <c r="BW246" s="96">
        <f t="shared" si="192"/>
        <v>0.37387387387387389</v>
      </c>
      <c r="BX246" s="99">
        <f t="shared" si="212"/>
        <v>13.759666330394973</v>
      </c>
      <c r="BY246" s="96">
        <f t="shared" si="193"/>
        <v>4.04</v>
      </c>
      <c r="BZ246" s="97">
        <f t="shared" si="194"/>
        <v>2.6064516129032256E-3</v>
      </c>
      <c r="CA246" s="95">
        <f t="shared" si="195"/>
        <v>0.24422668891124324</v>
      </c>
      <c r="CB246" s="99">
        <f t="shared" si="188"/>
        <v>108.99340536680256</v>
      </c>
      <c r="CC246" s="99">
        <f t="shared" si="188"/>
        <v>9.1646106614728886</v>
      </c>
      <c r="CD246" s="100">
        <f t="shared" si="196"/>
        <v>609.2137715894462</v>
      </c>
      <c r="CE246" s="100">
        <f t="shared" si="210"/>
        <v>638.73147907562372</v>
      </c>
      <c r="CF246" s="100">
        <f t="shared" si="186"/>
        <v>149.76759470535976</v>
      </c>
      <c r="CG246" s="96">
        <f t="shared" si="211"/>
        <v>-0.15518278594266466</v>
      </c>
      <c r="CH246" s="96">
        <f t="shared" si="214"/>
        <v>1.9832334998734789</v>
      </c>
      <c r="CJ246" s="95">
        <f t="shared" si="213"/>
        <v>0.23206751054852323</v>
      </c>
      <c r="CK246" s="93">
        <f t="shared" si="197"/>
        <v>4.9509803921568629</v>
      </c>
      <c r="CL246" s="93">
        <f t="shared" si="198"/>
        <v>0.55789473684210522</v>
      </c>
      <c r="CM246" s="93">
        <f t="shared" si="199"/>
        <v>1.6059957173447537</v>
      </c>
      <c r="CN246" s="93">
        <f t="shared" si="200"/>
        <v>19.150326797385624</v>
      </c>
      <c r="CO246" s="93">
        <f t="shared" si="201"/>
        <v>10.517241379310343</v>
      </c>
      <c r="CP246" s="93">
        <f t="shared" si="202"/>
        <v>96.836982968369824</v>
      </c>
      <c r="CQ246" s="93">
        <f t="shared" si="203"/>
        <v>235.29411764705881</v>
      </c>
      <c r="CR246" s="93">
        <f t="shared" si="204"/>
        <v>488.18897637795277</v>
      </c>
      <c r="CS246" s="93">
        <f t="shared" si="205"/>
        <v>959.36395759717311</v>
      </c>
      <c r="CT246" s="93">
        <f t="shared" si="206"/>
        <v>1794.561933534743</v>
      </c>
      <c r="CU246" s="93">
        <f t="shared" si="207"/>
        <v>2588.2352941176473</v>
      </c>
      <c r="CV246" s="93">
        <f t="shared" si="208"/>
        <v>3294.1176470588234</v>
      </c>
      <c r="CW246" s="93">
        <f t="shared" si="209"/>
        <v>4763.7795275590552</v>
      </c>
    </row>
    <row r="247" spans="1:101" s="98" customFormat="1">
      <c r="A247" s="3" t="s">
        <v>464</v>
      </c>
      <c r="B247" s="92" t="s">
        <v>244</v>
      </c>
      <c r="C247" s="3"/>
      <c r="D247" s="93">
        <v>11.055</v>
      </c>
      <c r="E247" s="94">
        <v>0.18540000000000001</v>
      </c>
      <c r="F247" s="94">
        <v>1.1000000000000001E-3</v>
      </c>
      <c r="G247" s="95">
        <v>13.21</v>
      </c>
      <c r="H247" s="96">
        <v>0.41</v>
      </c>
      <c r="I247" s="97">
        <v>0.51849999999999996</v>
      </c>
      <c r="J247" s="95">
        <v>1.4999999999999999E-2</v>
      </c>
      <c r="K247" s="96">
        <v>0.86140000000000005</v>
      </c>
      <c r="M247" s="99">
        <v>2693</v>
      </c>
      <c r="N247" s="98">
        <v>62</v>
      </c>
      <c r="O247" s="99">
        <v>2701.8</v>
      </c>
      <c r="P247" s="98">
        <v>5</v>
      </c>
      <c r="Q247" s="93">
        <v>0.34</v>
      </c>
      <c r="R247" s="97">
        <v>3.7000000000000002E-3</v>
      </c>
      <c r="T247" s="98">
        <v>430</v>
      </c>
      <c r="U247" s="98">
        <v>120</v>
      </c>
      <c r="V247" s="98">
        <v>0.7</v>
      </c>
      <c r="W247" s="98">
        <v>1.5</v>
      </c>
      <c r="X247" s="98">
        <v>0.42</v>
      </c>
      <c r="Y247" s="98">
        <v>0.3</v>
      </c>
      <c r="Z247" s="98">
        <v>6.2</v>
      </c>
      <c r="AA247" s="98">
        <v>1.2</v>
      </c>
      <c r="AB247" s="98">
        <v>1.17</v>
      </c>
      <c r="AC247" s="98">
        <v>0.48</v>
      </c>
      <c r="AD247" s="98">
        <v>1990</v>
      </c>
      <c r="AE247" s="98">
        <v>200</v>
      </c>
      <c r="AF247" s="95" t="s">
        <v>250</v>
      </c>
      <c r="AG247" s="97" t="s">
        <v>250</v>
      </c>
      <c r="AH247" s="96">
        <v>5.33</v>
      </c>
      <c r="AI247" s="96">
        <v>0.94</v>
      </c>
      <c r="AJ247" s="95">
        <v>5.5E-2</v>
      </c>
      <c r="AK247" s="95">
        <v>3.1E-2</v>
      </c>
      <c r="AL247" s="96">
        <v>0.55000000000000004</v>
      </c>
      <c r="AM247" s="96">
        <v>0.38</v>
      </c>
      <c r="AN247" s="96">
        <v>4.4000000000000004</v>
      </c>
      <c r="AO247" s="96">
        <v>1.1000000000000001</v>
      </c>
      <c r="AP247" s="96">
        <v>0.82</v>
      </c>
      <c r="AQ247" s="96">
        <v>0.27</v>
      </c>
      <c r="AR247" s="96">
        <v>28.1</v>
      </c>
      <c r="AS247" s="93">
        <v>4.4000000000000004</v>
      </c>
      <c r="AT247" s="96">
        <v>12.4</v>
      </c>
      <c r="AU247" s="96">
        <v>1.5</v>
      </c>
      <c r="AV247" s="99">
        <v>171</v>
      </c>
      <c r="AW247" s="98">
        <v>16</v>
      </c>
      <c r="AX247" s="98">
        <v>71.3</v>
      </c>
      <c r="AY247" s="98">
        <v>6.6</v>
      </c>
      <c r="AZ247" s="98">
        <v>368</v>
      </c>
      <c r="BA247" s="98">
        <v>36</v>
      </c>
      <c r="BB247" s="98">
        <v>76.3</v>
      </c>
      <c r="BC247" s="98">
        <v>7.2</v>
      </c>
      <c r="BD247" s="98">
        <v>680</v>
      </c>
      <c r="BE247" s="98">
        <v>73</v>
      </c>
      <c r="BF247" s="98">
        <v>139</v>
      </c>
      <c r="BG247" s="98">
        <v>18</v>
      </c>
      <c r="BI247" s="93">
        <v>2.8</v>
      </c>
      <c r="BJ247" s="98">
        <v>2.2000000000000002</v>
      </c>
      <c r="BK247" s="98">
        <v>558000</v>
      </c>
      <c r="BL247" s="98">
        <v>50000</v>
      </c>
      <c r="BM247" s="98">
        <v>9170</v>
      </c>
      <c r="BN247" s="98">
        <v>860</v>
      </c>
      <c r="BO247" s="99">
        <v>59.6</v>
      </c>
      <c r="BP247" s="98">
        <v>5.2</v>
      </c>
      <c r="BQ247" s="99">
        <v>105.9</v>
      </c>
      <c r="BR247" s="98">
        <v>9.3000000000000007</v>
      </c>
      <c r="BT247" s="95">
        <f t="shared" si="189"/>
        <v>0.15573529411764706</v>
      </c>
      <c r="BU247" s="96">
        <f t="shared" si="190"/>
        <v>9.6909090909090896</v>
      </c>
      <c r="BV247" s="96">
        <f t="shared" si="191"/>
        <v>60.850599781897493</v>
      </c>
      <c r="BW247" s="96">
        <f t="shared" si="192"/>
        <v>0.56279508970727099</v>
      </c>
      <c r="BX247" s="99"/>
      <c r="BY247" s="96">
        <f t="shared" si="193"/>
        <v>9.6909090909090896</v>
      </c>
      <c r="BZ247" s="97">
        <f t="shared" si="194"/>
        <v>4.8698035632708993E-3</v>
      </c>
      <c r="CA247" s="95">
        <f t="shared" si="195"/>
        <v>0.22545402293800493</v>
      </c>
      <c r="CB247" s="99">
        <f t="shared" si="188"/>
        <v>173.30933375892482</v>
      </c>
      <c r="CC247" s="99">
        <f t="shared" si="188"/>
        <v>15.219799848517477</v>
      </c>
      <c r="CD247" s="100">
        <f t="shared" si="196"/>
        <v>660.90144702163991</v>
      </c>
      <c r="CE247" s="100">
        <f t="shared" si="210"/>
        <v>694.04360437595142</v>
      </c>
      <c r="CF247" s="100">
        <f t="shared" si="186"/>
        <v>68.828227295597372</v>
      </c>
      <c r="CG247" s="96">
        <f t="shared" si="211"/>
        <v>-0.17888850422016311</v>
      </c>
      <c r="CH247" s="96">
        <f t="shared" si="214"/>
        <v>0.86000304069479361</v>
      </c>
      <c r="CJ247" s="95"/>
      <c r="CK247" s="93">
        <f t="shared" si="197"/>
        <v>8.7091503267973867</v>
      </c>
      <c r="CL247" s="93">
        <f t="shared" si="198"/>
        <v>0.57894736842105265</v>
      </c>
      <c r="CM247" s="93">
        <f t="shared" si="199"/>
        <v>1.1777301927194861</v>
      </c>
      <c r="CN247" s="93">
        <f t="shared" si="200"/>
        <v>28.758169934640527</v>
      </c>
      <c r="CO247" s="93">
        <f t="shared" si="201"/>
        <v>14.137931034482756</v>
      </c>
      <c r="CP247" s="93">
        <f t="shared" si="202"/>
        <v>136.7396593673966</v>
      </c>
      <c r="CQ247" s="93">
        <f t="shared" si="203"/>
        <v>331.55080213903744</v>
      </c>
      <c r="CR247" s="93">
        <f t="shared" si="204"/>
        <v>673.22834645669286</v>
      </c>
      <c r="CS247" s="93">
        <f t="shared" si="205"/>
        <v>1259.7173144876326</v>
      </c>
      <c r="CT247" s="93">
        <f t="shared" si="206"/>
        <v>2223.5649546827794</v>
      </c>
      <c r="CU247" s="93">
        <f t="shared" si="207"/>
        <v>2992.1568627450979</v>
      </c>
      <c r="CV247" s="93">
        <f t="shared" si="208"/>
        <v>3999.9999999999995</v>
      </c>
      <c r="CW247" s="93">
        <f t="shared" si="209"/>
        <v>5472.4409448818897</v>
      </c>
    </row>
    <row r="248" spans="1:101" s="118" customFormat="1">
      <c r="A248" s="111" t="s">
        <v>465</v>
      </c>
      <c r="B248" s="112" t="s">
        <v>244</v>
      </c>
      <c r="C248" s="111"/>
      <c r="D248" s="113">
        <v>11.137</v>
      </c>
      <c r="E248" s="114">
        <v>0.18779999999999999</v>
      </c>
      <c r="F248" s="114">
        <v>1.1999999999999999E-3</v>
      </c>
      <c r="G248" s="115">
        <v>13.58</v>
      </c>
      <c r="H248" s="116">
        <v>0.41</v>
      </c>
      <c r="I248" s="117">
        <v>0.52639999999999998</v>
      </c>
      <c r="J248" s="115">
        <v>1.4E-2</v>
      </c>
      <c r="K248" s="116">
        <v>0.66866999999999999</v>
      </c>
      <c r="M248" s="119">
        <v>2726</v>
      </c>
      <c r="N248" s="118">
        <v>61</v>
      </c>
      <c r="O248" s="119">
        <v>2723.2</v>
      </c>
      <c r="P248" s="118">
        <v>4.0999999999999996</v>
      </c>
      <c r="Q248" s="113">
        <v>-0.11</v>
      </c>
      <c r="R248" s="117">
        <v>1.6999999999999999E-3</v>
      </c>
      <c r="T248" s="118">
        <v>3310</v>
      </c>
      <c r="U248" s="118">
        <v>500</v>
      </c>
      <c r="V248" s="118">
        <v>0.3</v>
      </c>
      <c r="W248" s="118">
        <v>1.5</v>
      </c>
      <c r="X248" s="118">
        <v>2.85</v>
      </c>
      <c r="Y248" s="118">
        <v>0.72</v>
      </c>
      <c r="Z248" s="118">
        <v>5.5</v>
      </c>
      <c r="AA248" s="118">
        <v>1.6</v>
      </c>
      <c r="AB248" s="118">
        <v>1.79</v>
      </c>
      <c r="AC248" s="118">
        <v>0.61</v>
      </c>
      <c r="AD248" s="118">
        <v>1590</v>
      </c>
      <c r="AE248" s="118">
        <v>240</v>
      </c>
      <c r="AF248" s="115">
        <v>12.8</v>
      </c>
      <c r="AG248" s="117">
        <v>2.7</v>
      </c>
      <c r="AH248" s="116">
        <v>35.299999999999997</v>
      </c>
      <c r="AI248" s="116">
        <v>6.2</v>
      </c>
      <c r="AJ248" s="115">
        <v>6.2</v>
      </c>
      <c r="AK248" s="115">
        <v>1.1000000000000001</v>
      </c>
      <c r="AL248" s="116">
        <v>32.5</v>
      </c>
      <c r="AM248" s="116">
        <v>6.6</v>
      </c>
      <c r="AN248" s="116">
        <v>11.3</v>
      </c>
      <c r="AO248" s="116">
        <v>2.2000000000000002</v>
      </c>
      <c r="AP248" s="116">
        <v>0.74</v>
      </c>
      <c r="AQ248" s="116">
        <v>0.28999999999999998</v>
      </c>
      <c r="AR248" s="116">
        <v>29.5</v>
      </c>
      <c r="AS248" s="113">
        <v>4.8</v>
      </c>
      <c r="AT248" s="116">
        <v>10.1</v>
      </c>
      <c r="AU248" s="116">
        <v>1.6</v>
      </c>
      <c r="AV248" s="119">
        <v>141</v>
      </c>
      <c r="AW248" s="118">
        <v>21</v>
      </c>
      <c r="AX248" s="118">
        <v>58.6</v>
      </c>
      <c r="AY248" s="118">
        <v>8.3000000000000007</v>
      </c>
      <c r="AZ248" s="118">
        <v>304</v>
      </c>
      <c r="BA248" s="118">
        <v>45</v>
      </c>
      <c r="BB248" s="118">
        <v>59.8</v>
      </c>
      <c r="BC248" s="118">
        <v>9</v>
      </c>
      <c r="BD248" s="118">
        <v>580</v>
      </c>
      <c r="BE248" s="118">
        <v>89</v>
      </c>
      <c r="BF248" s="118">
        <v>123</v>
      </c>
      <c r="BG248" s="118">
        <v>17</v>
      </c>
      <c r="BI248" s="113">
        <v>2.6</v>
      </c>
      <c r="BJ248" s="118">
        <v>2.8</v>
      </c>
      <c r="BK248" s="118">
        <v>491000</v>
      </c>
      <c r="BL248" s="118">
        <v>76000</v>
      </c>
      <c r="BM248" s="118">
        <v>9610</v>
      </c>
      <c r="BN248" s="118">
        <v>970</v>
      </c>
      <c r="BO248" s="119">
        <v>31.7</v>
      </c>
      <c r="BP248" s="118">
        <v>2.8</v>
      </c>
      <c r="BQ248" s="119">
        <v>81.8</v>
      </c>
      <c r="BR248" s="118">
        <v>7.3</v>
      </c>
      <c r="BT248" s="115"/>
      <c r="BU248" s="116"/>
      <c r="BV248" s="116"/>
      <c r="BW248" s="116"/>
      <c r="BX248" s="119"/>
      <c r="BY248" s="116"/>
      <c r="BZ248" s="117"/>
      <c r="CA248" s="115"/>
      <c r="CB248" s="99"/>
      <c r="CC248" s="99"/>
      <c r="CD248" s="120"/>
      <c r="CE248" s="100"/>
      <c r="CF248" s="100"/>
      <c r="CG248" s="116"/>
      <c r="CH248" s="96"/>
      <c r="CJ248" s="115">
        <f t="shared" ref="CJ248:CJ259" si="215">AF248/CJ$4</f>
        <v>54.008438818565409</v>
      </c>
      <c r="CK248" s="113">
        <f t="shared" si="197"/>
        <v>57.679738562091501</v>
      </c>
      <c r="CL248" s="113">
        <f t="shared" si="198"/>
        <v>65.26315789473685</v>
      </c>
      <c r="CM248" s="113">
        <f t="shared" si="199"/>
        <v>69.593147751605997</v>
      </c>
      <c r="CN248" s="113">
        <f t="shared" si="200"/>
        <v>73.856209150326805</v>
      </c>
      <c r="CO248" s="113">
        <f t="shared" si="201"/>
        <v>12.758620689655171</v>
      </c>
      <c r="CP248" s="113">
        <f t="shared" si="202"/>
        <v>143.55231143552311</v>
      </c>
      <c r="CQ248" s="113">
        <f t="shared" si="203"/>
        <v>270.05347593582883</v>
      </c>
      <c r="CR248" s="113">
        <f t="shared" si="204"/>
        <v>555.11811023622045</v>
      </c>
      <c r="CS248" s="113">
        <f t="shared" si="205"/>
        <v>1035.3356890459365</v>
      </c>
      <c r="CT248" s="113">
        <f t="shared" si="206"/>
        <v>1836.858006042296</v>
      </c>
      <c r="CU248" s="113">
        <f t="shared" si="207"/>
        <v>2345.0980392156862</v>
      </c>
      <c r="CV248" s="113">
        <f t="shared" si="208"/>
        <v>3411.7647058823527</v>
      </c>
      <c r="CW248" s="113">
        <f t="shared" si="209"/>
        <v>4842.5196850393704</v>
      </c>
    </row>
    <row r="249" spans="1:101" s="98" customFormat="1">
      <c r="A249" s="3" t="s">
        <v>466</v>
      </c>
      <c r="B249" s="92" t="s">
        <v>244</v>
      </c>
      <c r="C249" s="3"/>
      <c r="D249" s="93">
        <v>11.036</v>
      </c>
      <c r="E249" s="94">
        <v>0.18820000000000001</v>
      </c>
      <c r="F249" s="94">
        <v>1.1000000000000001E-3</v>
      </c>
      <c r="G249" s="95">
        <v>14.04</v>
      </c>
      <c r="H249" s="96">
        <v>0.46</v>
      </c>
      <c r="I249" s="97">
        <v>0.54379999999999995</v>
      </c>
      <c r="J249" s="95">
        <v>1.6E-2</v>
      </c>
      <c r="K249" s="96">
        <v>0.91866000000000003</v>
      </c>
      <c r="M249" s="99">
        <v>2799</v>
      </c>
      <c r="N249" s="98">
        <v>68</v>
      </c>
      <c r="O249" s="99">
        <v>2723.8</v>
      </c>
      <c r="P249" s="98">
        <v>5</v>
      </c>
      <c r="Q249" s="93">
        <v>-2.7</v>
      </c>
      <c r="R249" s="97">
        <v>1.6000000000000001E-3</v>
      </c>
      <c r="T249" s="98">
        <v>900</v>
      </c>
      <c r="U249" s="98">
        <v>200</v>
      </c>
      <c r="V249" s="98" t="s">
        <v>250</v>
      </c>
      <c r="W249" s="98" t="s">
        <v>250</v>
      </c>
      <c r="X249" s="98">
        <v>0.51</v>
      </c>
      <c r="Y249" s="98">
        <v>0.26</v>
      </c>
      <c r="Z249" s="98">
        <v>9.6999999999999993</v>
      </c>
      <c r="AA249" s="98">
        <v>3.6</v>
      </c>
      <c r="AB249" s="98">
        <v>2.06</v>
      </c>
      <c r="AC249" s="98">
        <v>0.69</v>
      </c>
      <c r="AD249" s="98">
        <v>2590</v>
      </c>
      <c r="AE249" s="98">
        <v>580</v>
      </c>
      <c r="AF249" s="95">
        <v>0.12</v>
      </c>
      <c r="AG249" s="97">
        <v>6.4000000000000001E-2</v>
      </c>
      <c r="AH249" s="96">
        <v>8.1999999999999993</v>
      </c>
      <c r="AI249" s="96">
        <v>2.8</v>
      </c>
      <c r="AJ249" s="95">
        <v>0.24</v>
      </c>
      <c r="AK249" s="95">
        <v>0.11</v>
      </c>
      <c r="AL249" s="96">
        <v>2.2999999999999998</v>
      </c>
      <c r="AM249" s="96">
        <v>1.3</v>
      </c>
      <c r="AN249" s="96">
        <v>5</v>
      </c>
      <c r="AO249" s="96">
        <v>2</v>
      </c>
      <c r="AP249" s="96">
        <v>0.49</v>
      </c>
      <c r="AQ249" s="96">
        <v>0.19</v>
      </c>
      <c r="AR249" s="96">
        <v>40</v>
      </c>
      <c r="AS249" s="93">
        <v>14</v>
      </c>
      <c r="AT249" s="96">
        <v>15.9</v>
      </c>
      <c r="AU249" s="96">
        <v>3.9</v>
      </c>
      <c r="AV249" s="99">
        <v>217</v>
      </c>
      <c r="AW249" s="98">
        <v>54</v>
      </c>
      <c r="AX249" s="98">
        <v>86</v>
      </c>
      <c r="AY249" s="98">
        <v>21</v>
      </c>
      <c r="AZ249" s="98">
        <v>444</v>
      </c>
      <c r="BA249" s="98">
        <v>88</v>
      </c>
      <c r="BB249" s="98">
        <v>91</v>
      </c>
      <c r="BC249" s="98">
        <v>19</v>
      </c>
      <c r="BD249" s="98">
        <v>830</v>
      </c>
      <c r="BE249" s="98">
        <v>170</v>
      </c>
      <c r="BF249" s="98">
        <v>173</v>
      </c>
      <c r="BG249" s="98">
        <v>34</v>
      </c>
      <c r="BI249" s="93">
        <v>1.9</v>
      </c>
      <c r="BJ249" s="98">
        <v>1.9</v>
      </c>
      <c r="BK249" s="98">
        <v>494000</v>
      </c>
      <c r="BL249" s="98">
        <v>52000</v>
      </c>
      <c r="BM249" s="98">
        <v>9600</v>
      </c>
      <c r="BN249" s="98">
        <v>1100</v>
      </c>
      <c r="BO249" s="99">
        <v>51</v>
      </c>
      <c r="BP249" s="98">
        <v>17</v>
      </c>
      <c r="BQ249" s="99">
        <v>113</v>
      </c>
      <c r="BR249" s="98">
        <v>27</v>
      </c>
      <c r="BT249" s="95">
        <f t="shared" si="189"/>
        <v>0.13614457831325302</v>
      </c>
      <c r="BU249" s="96">
        <f t="shared" si="190"/>
        <v>3.5652173913043477</v>
      </c>
      <c r="BV249" s="96">
        <f t="shared" si="191"/>
        <v>51.458333333333336</v>
      </c>
      <c r="BW249" s="96">
        <f t="shared" si="192"/>
        <v>0.45132743362831856</v>
      </c>
      <c r="BX249" s="99">
        <f t="shared" ref="BX249:BX258" si="216">CK249/SQRT(CJ249*CL249)</f>
        <v>11.846830151645916</v>
      </c>
      <c r="BY249" s="96">
        <f t="shared" si="193"/>
        <v>3.5652173913043477</v>
      </c>
      <c r="BZ249" s="97">
        <f t="shared" si="194"/>
        <v>1.37653181131442E-3</v>
      </c>
      <c r="CA249" s="95">
        <f t="shared" si="195"/>
        <v>0.10592652304678002</v>
      </c>
      <c r="CB249" s="99">
        <f t="shared" si="188"/>
        <v>184.92875084757793</v>
      </c>
      <c r="CC249" s="99">
        <f t="shared" si="188"/>
        <v>44.186515689244288</v>
      </c>
      <c r="CD249" s="100">
        <f t="shared" si="196"/>
        <v>631.26336837711267</v>
      </c>
      <c r="CE249" s="100">
        <f t="shared" si="210"/>
        <v>662.30070460002275</v>
      </c>
      <c r="CF249" s="100">
        <f t="shared" si="186"/>
        <v>81.924138290345368</v>
      </c>
      <c r="CG249" s="96">
        <f>2.28+3.99*LOG(AH249/((CB249*BI249)^(1/2)))</f>
        <v>0.84732998706668727</v>
      </c>
      <c r="CH249" s="96">
        <f t="shared" si="214"/>
        <v>1.2994552499609395</v>
      </c>
      <c r="CJ249" s="95">
        <f t="shared" si="215"/>
        <v>0.50632911392405067</v>
      </c>
      <c r="CK249" s="93">
        <f t="shared" si="197"/>
        <v>13.398692810457515</v>
      </c>
      <c r="CL249" s="93">
        <f t="shared" si="198"/>
        <v>2.5263157894736841</v>
      </c>
      <c r="CM249" s="93">
        <f t="shared" si="199"/>
        <v>4.9250535331905771</v>
      </c>
      <c r="CN249" s="93">
        <f t="shared" si="200"/>
        <v>32.679738562091501</v>
      </c>
      <c r="CO249" s="93">
        <f t="shared" si="201"/>
        <v>8.4482758620689644</v>
      </c>
      <c r="CP249" s="93">
        <f t="shared" si="202"/>
        <v>194.64720194647202</v>
      </c>
      <c r="CQ249" s="93">
        <f t="shared" si="203"/>
        <v>425.13368983957218</v>
      </c>
      <c r="CR249" s="93">
        <f t="shared" si="204"/>
        <v>854.33070866141736</v>
      </c>
      <c r="CS249" s="93">
        <f t="shared" si="205"/>
        <v>1519.434628975265</v>
      </c>
      <c r="CT249" s="93">
        <f t="shared" si="206"/>
        <v>2682.7794561933533</v>
      </c>
      <c r="CU249" s="93">
        <f t="shared" si="207"/>
        <v>3568.6274509803925</v>
      </c>
      <c r="CV249" s="93">
        <f t="shared" si="208"/>
        <v>4882.3529411764703</v>
      </c>
      <c r="CW249" s="93">
        <f t="shared" si="209"/>
        <v>6811.0236220472443</v>
      </c>
    </row>
    <row r="250" spans="1:101" s="98" customFormat="1">
      <c r="A250" s="3" t="s">
        <v>467</v>
      </c>
      <c r="B250" s="92" t="s">
        <v>244</v>
      </c>
      <c r="C250" s="3"/>
      <c r="D250" s="93">
        <v>11.061999999999999</v>
      </c>
      <c r="E250" s="94">
        <v>0.18970000000000001</v>
      </c>
      <c r="F250" s="94">
        <v>1.2999999999999999E-3</v>
      </c>
      <c r="G250" s="95">
        <v>14</v>
      </c>
      <c r="H250" s="96">
        <v>0.42</v>
      </c>
      <c r="I250" s="97">
        <v>0.53700000000000003</v>
      </c>
      <c r="J250" s="95">
        <v>1.4999999999999999E-2</v>
      </c>
      <c r="K250" s="96">
        <v>0.56977</v>
      </c>
      <c r="M250" s="99">
        <v>2771</v>
      </c>
      <c r="N250" s="98">
        <v>61</v>
      </c>
      <c r="O250" s="99">
        <v>2739.4</v>
      </c>
      <c r="P250" s="98">
        <v>7.8</v>
      </c>
      <c r="Q250" s="93">
        <v>-1.29</v>
      </c>
      <c r="R250" s="97">
        <v>2.1000000000000001E-4</v>
      </c>
      <c r="T250" s="98">
        <v>700</v>
      </c>
      <c r="U250" s="98">
        <v>110</v>
      </c>
      <c r="V250" s="98" t="s">
        <v>250</v>
      </c>
      <c r="W250" s="98" t="s">
        <v>250</v>
      </c>
      <c r="X250" s="98">
        <v>0.47</v>
      </c>
      <c r="Y250" s="98">
        <v>0.28000000000000003</v>
      </c>
      <c r="Z250" s="98">
        <v>5.8</v>
      </c>
      <c r="AA250" s="98">
        <v>0.85</v>
      </c>
      <c r="AB250" s="98">
        <v>1.95</v>
      </c>
      <c r="AC250" s="98">
        <v>0.71</v>
      </c>
      <c r="AD250" s="98">
        <v>1820</v>
      </c>
      <c r="AE250" s="98">
        <v>220</v>
      </c>
      <c r="AF250" s="95">
        <v>0.108</v>
      </c>
      <c r="AG250" s="97">
        <v>3.4000000000000002E-2</v>
      </c>
      <c r="AH250" s="96">
        <v>5.0999999999999996</v>
      </c>
      <c r="AI250" s="96">
        <v>1.3</v>
      </c>
      <c r="AJ250" s="95">
        <v>0.122</v>
      </c>
      <c r="AK250" s="95">
        <v>5.0999999999999997E-2</v>
      </c>
      <c r="AL250" s="96">
        <v>1.44</v>
      </c>
      <c r="AM250" s="96">
        <v>0.47</v>
      </c>
      <c r="AN250" s="96">
        <v>2.39</v>
      </c>
      <c r="AO250" s="96">
        <v>0.65</v>
      </c>
      <c r="AP250" s="96">
        <v>0.54</v>
      </c>
      <c r="AQ250" s="96">
        <v>0.15</v>
      </c>
      <c r="AR250" s="96">
        <v>27.7</v>
      </c>
      <c r="AS250" s="93">
        <v>4.9000000000000004</v>
      </c>
      <c r="AT250" s="96">
        <v>9.1999999999999993</v>
      </c>
      <c r="AU250" s="96">
        <v>1.1000000000000001</v>
      </c>
      <c r="AV250" s="99">
        <v>139</v>
      </c>
      <c r="AW250" s="98">
        <v>12</v>
      </c>
      <c r="AX250" s="98">
        <v>62.9</v>
      </c>
      <c r="AY250" s="98">
        <v>4.7</v>
      </c>
      <c r="AZ250" s="98">
        <v>318</v>
      </c>
      <c r="BA250" s="98">
        <v>32</v>
      </c>
      <c r="BB250" s="98">
        <v>66.2</v>
      </c>
      <c r="BC250" s="98">
        <v>6.6</v>
      </c>
      <c r="BD250" s="98">
        <v>649</v>
      </c>
      <c r="BE250" s="98">
        <v>66</v>
      </c>
      <c r="BF250" s="98">
        <v>128</v>
      </c>
      <c r="BG250" s="98">
        <v>13</v>
      </c>
      <c r="BI250" s="93">
        <v>3.7</v>
      </c>
      <c r="BJ250" s="98">
        <v>2.5</v>
      </c>
      <c r="BK250" s="98">
        <v>519000</v>
      </c>
      <c r="BL250" s="98">
        <v>64000</v>
      </c>
      <c r="BM250" s="98">
        <v>9400</v>
      </c>
      <c r="BN250" s="98">
        <v>1100</v>
      </c>
      <c r="BO250" s="99">
        <v>34.6</v>
      </c>
      <c r="BP250" s="98">
        <v>2.9</v>
      </c>
      <c r="BQ250" s="99">
        <v>91.2</v>
      </c>
      <c r="BR250" s="98">
        <v>7.6</v>
      </c>
      <c r="BT250" s="95">
        <f t="shared" si="189"/>
        <v>0.14052388289676426</v>
      </c>
      <c r="BU250" s="96">
        <f t="shared" si="190"/>
        <v>3.5416666666666665</v>
      </c>
      <c r="BV250" s="96">
        <f t="shared" si="191"/>
        <v>55.212765957446805</v>
      </c>
      <c r="BW250" s="96">
        <f t="shared" si="192"/>
        <v>0.37938596491228072</v>
      </c>
      <c r="BX250" s="99">
        <f t="shared" si="216"/>
        <v>10.893387095502806</v>
      </c>
      <c r="BY250" s="96">
        <f t="shared" si="193"/>
        <v>3.5416666666666665</v>
      </c>
      <c r="BZ250" s="97">
        <f t="shared" si="194"/>
        <v>1.945970695970696E-3</v>
      </c>
      <c r="CA250" s="95">
        <f t="shared" si="195"/>
        <v>0.20289837077556949</v>
      </c>
      <c r="CB250" s="99">
        <f t="shared" si="188"/>
        <v>149.25223077255848</v>
      </c>
      <c r="CC250" s="99">
        <f t="shared" si="188"/>
        <v>12.437685897713205</v>
      </c>
      <c r="CD250" s="100">
        <f t="shared" si="196"/>
        <v>683.43317304074549</v>
      </c>
      <c r="CE250" s="100">
        <f t="shared" si="210"/>
        <v>718.22334175217838</v>
      </c>
      <c r="CF250" s="100">
        <f t="shared" si="186"/>
        <v>62.224152775852737</v>
      </c>
      <c r="CG250" s="96">
        <f>2.28+3.99*LOG(AH250/((CB250*BI250)^(1/2)))</f>
        <v>-0.36732949464210574</v>
      </c>
      <c r="CH250" s="96">
        <f t="shared" si="214"/>
        <v>0.84014965965640065</v>
      </c>
      <c r="CJ250" s="95">
        <f t="shared" si="215"/>
        <v>0.45569620253164561</v>
      </c>
      <c r="CK250" s="93">
        <f t="shared" si="197"/>
        <v>8.3333333333333321</v>
      </c>
      <c r="CL250" s="93">
        <f t="shared" si="198"/>
        <v>1.2842105263157895</v>
      </c>
      <c r="CM250" s="93">
        <f t="shared" si="199"/>
        <v>3.0835117773019269</v>
      </c>
      <c r="CN250" s="93">
        <f t="shared" si="200"/>
        <v>15.62091503267974</v>
      </c>
      <c r="CO250" s="93">
        <f t="shared" si="201"/>
        <v>9.3103448275862064</v>
      </c>
      <c r="CP250" s="93">
        <f t="shared" si="202"/>
        <v>134.79318734793188</v>
      </c>
      <c r="CQ250" s="93">
        <f t="shared" si="203"/>
        <v>245.98930481283418</v>
      </c>
      <c r="CR250" s="93">
        <f t="shared" si="204"/>
        <v>547.24409448818892</v>
      </c>
      <c r="CS250" s="93">
        <f t="shared" si="205"/>
        <v>1111.3074204946997</v>
      </c>
      <c r="CT250" s="93">
        <f t="shared" si="206"/>
        <v>1921.4501510574016</v>
      </c>
      <c r="CU250" s="93">
        <f t="shared" si="207"/>
        <v>2596.0784313725494</v>
      </c>
      <c r="CV250" s="93">
        <f t="shared" si="208"/>
        <v>3817.6470588235293</v>
      </c>
      <c r="CW250" s="93">
        <f t="shared" si="209"/>
        <v>5039.3700787401576</v>
      </c>
    </row>
    <row r="251" spans="1:101" s="98" customFormat="1">
      <c r="A251" s="3" t="s">
        <v>468</v>
      </c>
      <c r="B251" s="3" t="s">
        <v>268</v>
      </c>
      <c r="C251" s="3"/>
      <c r="D251" s="93">
        <v>6.1917</v>
      </c>
      <c r="E251" s="94">
        <v>0.18659999999999999</v>
      </c>
      <c r="F251" s="94">
        <v>1.1000000000000001E-3</v>
      </c>
      <c r="G251" s="95">
        <v>13.34</v>
      </c>
      <c r="H251" s="96">
        <v>0.34</v>
      </c>
      <c r="I251" s="97">
        <v>0.52010000000000001</v>
      </c>
      <c r="J251" s="95">
        <v>1.2E-2</v>
      </c>
      <c r="K251" s="96">
        <v>0.73929999999999996</v>
      </c>
      <c r="M251" s="99">
        <v>2699</v>
      </c>
      <c r="N251" s="98">
        <v>49</v>
      </c>
      <c r="O251" s="99">
        <v>2710.9</v>
      </c>
      <c r="P251" s="98">
        <v>5.8</v>
      </c>
      <c r="Q251" s="93">
        <v>0.42</v>
      </c>
      <c r="R251" s="97">
        <v>2.5999999999999999E-3</v>
      </c>
      <c r="T251" s="98">
        <v>430</v>
      </c>
      <c r="U251" s="98">
        <v>150</v>
      </c>
      <c r="V251" s="98">
        <v>0.06</v>
      </c>
      <c r="W251" s="98">
        <v>0.89</v>
      </c>
      <c r="X251" s="98">
        <v>0.32</v>
      </c>
      <c r="Y251" s="98">
        <v>0.34</v>
      </c>
      <c r="Z251" s="98">
        <v>7.2</v>
      </c>
      <c r="AA251" s="98">
        <v>1.3</v>
      </c>
      <c r="AB251" s="98">
        <v>2.33</v>
      </c>
      <c r="AC251" s="98">
        <v>0.62</v>
      </c>
      <c r="AD251" s="98">
        <v>1860</v>
      </c>
      <c r="AE251" s="98">
        <v>180</v>
      </c>
      <c r="AF251" s="95">
        <v>6.0999999999999999E-2</v>
      </c>
      <c r="AG251" s="97">
        <v>5.8999999999999997E-2</v>
      </c>
      <c r="AH251" s="96">
        <v>5.82</v>
      </c>
      <c r="AI251" s="96">
        <v>0.78</v>
      </c>
      <c r="AJ251" s="95">
        <v>7.9000000000000001E-2</v>
      </c>
      <c r="AK251" s="95">
        <v>8.2000000000000003E-2</v>
      </c>
      <c r="AL251" s="96">
        <v>0.93</v>
      </c>
      <c r="AM251" s="96">
        <v>0.8</v>
      </c>
      <c r="AN251" s="96">
        <v>2.9</v>
      </c>
      <c r="AO251" s="96">
        <v>1</v>
      </c>
      <c r="AP251" s="96">
        <v>0.43</v>
      </c>
      <c r="AQ251" s="96">
        <v>0.19</v>
      </c>
      <c r="AR251" s="96">
        <v>26</v>
      </c>
      <c r="AS251" s="93">
        <v>5.2</v>
      </c>
      <c r="AT251" s="96">
        <v>10.95</v>
      </c>
      <c r="AU251" s="96">
        <v>0.94</v>
      </c>
      <c r="AV251" s="99">
        <v>158</v>
      </c>
      <c r="AW251" s="98">
        <v>12</v>
      </c>
      <c r="AX251" s="98">
        <v>64.400000000000006</v>
      </c>
      <c r="AY251" s="98">
        <v>4.5</v>
      </c>
      <c r="AZ251" s="98">
        <v>343</v>
      </c>
      <c r="BA251" s="98">
        <v>25</v>
      </c>
      <c r="BB251" s="98">
        <v>72.7</v>
      </c>
      <c r="BC251" s="98">
        <v>6.9</v>
      </c>
      <c r="BD251" s="98">
        <v>658</v>
      </c>
      <c r="BE251" s="98">
        <v>57</v>
      </c>
      <c r="BF251" s="98">
        <v>139.80000000000001</v>
      </c>
      <c r="BG251" s="98">
        <v>7.6</v>
      </c>
      <c r="BI251" s="93">
        <v>3.1</v>
      </c>
      <c r="BJ251" s="98">
        <v>2.4</v>
      </c>
      <c r="BK251" s="98">
        <v>517000</v>
      </c>
      <c r="BL251" s="98">
        <v>46000</v>
      </c>
      <c r="BM251" s="98">
        <v>10290</v>
      </c>
      <c r="BN251" s="98">
        <v>780</v>
      </c>
      <c r="BO251" s="99">
        <v>37.9</v>
      </c>
      <c r="BP251" s="98">
        <v>3.8</v>
      </c>
      <c r="BQ251" s="99">
        <v>90.2</v>
      </c>
      <c r="BR251" s="98">
        <v>7.9</v>
      </c>
      <c r="BT251" s="95">
        <f t="shared" si="189"/>
        <v>0.13708206686930091</v>
      </c>
      <c r="BU251" s="96">
        <f t="shared" si="190"/>
        <v>6.258064516129032</v>
      </c>
      <c r="BV251" s="96">
        <f t="shared" si="191"/>
        <v>50.242954324586975</v>
      </c>
      <c r="BW251" s="96">
        <f t="shared" si="192"/>
        <v>0.42017738359201773</v>
      </c>
      <c r="BX251" s="99">
        <f t="shared" si="216"/>
        <v>20.555548741774849</v>
      </c>
      <c r="BY251" s="96">
        <f t="shared" si="193"/>
        <v>6.258064516129032</v>
      </c>
      <c r="BZ251" s="97">
        <f t="shared" si="194"/>
        <v>3.3645508151231357E-3</v>
      </c>
      <c r="CA251" s="95">
        <f t="shared" si="195"/>
        <v>0.15139321702244948</v>
      </c>
      <c r="CB251" s="99">
        <f t="shared" si="188"/>
        <v>147.61569315443833</v>
      </c>
      <c r="CC251" s="99">
        <f t="shared" si="188"/>
        <v>12.928647183149256</v>
      </c>
      <c r="CD251" s="100">
        <f t="shared" si="196"/>
        <v>669.00565304019926</v>
      </c>
      <c r="CE251" s="100">
        <f t="shared" si="210"/>
        <v>702.73579878407793</v>
      </c>
      <c r="CF251" s="100">
        <f t="shared" si="186"/>
        <v>68.987245324091489</v>
      </c>
      <c r="CG251" s="96">
        <f>2.28+3.99*LOG(AH251/((CB251*BI251)^(1/2)))</f>
        <v>2.4356731863480974E-2</v>
      </c>
      <c r="CH251" s="96">
        <f t="shared" si="214"/>
        <v>0.82155241376093258</v>
      </c>
      <c r="CJ251" s="95">
        <f t="shared" si="215"/>
        <v>0.25738396624472576</v>
      </c>
      <c r="CK251" s="93">
        <f t="shared" si="197"/>
        <v>9.5098039215686274</v>
      </c>
      <c r="CL251" s="93">
        <f t="shared" si="198"/>
        <v>0.83157894736842108</v>
      </c>
      <c r="CM251" s="93">
        <f t="shared" si="199"/>
        <v>1.9914346895074946</v>
      </c>
      <c r="CN251" s="93">
        <f t="shared" si="200"/>
        <v>18.954248366013072</v>
      </c>
      <c r="CO251" s="93">
        <f t="shared" si="201"/>
        <v>7.4137931034482758</v>
      </c>
      <c r="CP251" s="93">
        <f t="shared" si="202"/>
        <v>126.52068126520682</v>
      </c>
      <c r="CQ251" s="93">
        <f t="shared" si="203"/>
        <v>292.78074866310158</v>
      </c>
      <c r="CR251" s="93">
        <f t="shared" si="204"/>
        <v>622.04724409448818</v>
      </c>
      <c r="CS251" s="93">
        <f t="shared" si="205"/>
        <v>1137.8091872791522</v>
      </c>
      <c r="CT251" s="93">
        <f t="shared" si="206"/>
        <v>2072.5075528700904</v>
      </c>
      <c r="CU251" s="93">
        <f t="shared" si="207"/>
        <v>2850.9803921568632</v>
      </c>
      <c r="CV251" s="93">
        <f t="shared" si="208"/>
        <v>3870.5882352941176</v>
      </c>
      <c r="CW251" s="93">
        <f t="shared" si="209"/>
        <v>5503.9370078740167</v>
      </c>
    </row>
    <row r="252" spans="1:101" s="118" customFormat="1">
      <c r="A252" s="111" t="s">
        <v>469</v>
      </c>
      <c r="B252" s="111" t="s">
        <v>268</v>
      </c>
      <c r="C252" s="111"/>
      <c r="D252" s="113">
        <v>5.8433999999999999</v>
      </c>
      <c r="E252" s="114">
        <v>0.1857</v>
      </c>
      <c r="F252" s="114">
        <v>1.6000000000000001E-3</v>
      </c>
      <c r="G252" s="115">
        <v>13.61</v>
      </c>
      <c r="H252" s="116">
        <v>0.38</v>
      </c>
      <c r="I252" s="117">
        <v>0.53639999999999999</v>
      </c>
      <c r="J252" s="115">
        <v>1.4E-2</v>
      </c>
      <c r="K252" s="116">
        <v>0.91335</v>
      </c>
      <c r="M252" s="119">
        <v>2768</v>
      </c>
      <c r="N252" s="118">
        <v>57</v>
      </c>
      <c r="O252" s="119">
        <v>2704.2</v>
      </c>
      <c r="P252" s="118">
        <v>7.8</v>
      </c>
      <c r="Q252" s="113">
        <v>-2.4</v>
      </c>
      <c r="R252" s="117">
        <v>0</v>
      </c>
      <c r="T252" s="118">
        <v>1690</v>
      </c>
      <c r="U252" s="118">
        <v>400</v>
      </c>
      <c r="V252" s="118">
        <v>0.5</v>
      </c>
      <c r="W252" s="118">
        <v>1.6</v>
      </c>
      <c r="X252" s="118">
        <v>0.63</v>
      </c>
      <c r="Y252" s="118">
        <v>0.42</v>
      </c>
      <c r="Z252" s="118">
        <v>4.5999999999999996</v>
      </c>
      <c r="AA252" s="118">
        <v>1.3</v>
      </c>
      <c r="AB252" s="118">
        <v>1.41</v>
      </c>
      <c r="AC252" s="118">
        <v>0.47</v>
      </c>
      <c r="AD252" s="118">
        <v>1330</v>
      </c>
      <c r="AE252" s="118">
        <v>120</v>
      </c>
      <c r="AF252" s="115">
        <v>4.42</v>
      </c>
      <c r="AG252" s="117">
        <v>0.99</v>
      </c>
      <c r="AH252" s="116">
        <v>19.600000000000001</v>
      </c>
      <c r="AI252" s="116">
        <v>4.0999999999999996</v>
      </c>
      <c r="AJ252" s="115">
        <v>2.93</v>
      </c>
      <c r="AK252" s="115">
        <v>0.63</v>
      </c>
      <c r="AL252" s="116">
        <v>17.2</v>
      </c>
      <c r="AM252" s="116">
        <v>3.4</v>
      </c>
      <c r="AN252" s="116">
        <v>9.4</v>
      </c>
      <c r="AO252" s="116">
        <v>2.2999999999999998</v>
      </c>
      <c r="AP252" s="116">
        <v>0.6</v>
      </c>
      <c r="AQ252" s="116">
        <v>0.28000000000000003</v>
      </c>
      <c r="AR252" s="116">
        <v>26.6</v>
      </c>
      <c r="AS252" s="113">
        <v>5.2</v>
      </c>
      <c r="AT252" s="116">
        <v>8.6999999999999993</v>
      </c>
      <c r="AU252" s="116">
        <v>1.3</v>
      </c>
      <c r="AV252" s="119">
        <v>102</v>
      </c>
      <c r="AW252" s="118">
        <v>12</v>
      </c>
      <c r="AX252" s="118">
        <v>46.6</v>
      </c>
      <c r="AY252" s="118">
        <v>7.5</v>
      </c>
      <c r="AZ252" s="118">
        <v>240</v>
      </c>
      <c r="BA252" s="118">
        <v>27</v>
      </c>
      <c r="BB252" s="118">
        <v>49.6</v>
      </c>
      <c r="BC252" s="118">
        <v>6.3</v>
      </c>
      <c r="BD252" s="118">
        <v>453</v>
      </c>
      <c r="BE252" s="118">
        <v>53</v>
      </c>
      <c r="BF252" s="118">
        <v>97</v>
      </c>
      <c r="BG252" s="118">
        <v>12</v>
      </c>
      <c r="BI252" s="113">
        <v>1.8</v>
      </c>
      <c r="BJ252" s="118">
        <v>1.4</v>
      </c>
      <c r="BK252" s="118">
        <v>519000</v>
      </c>
      <c r="BL252" s="118">
        <v>52000</v>
      </c>
      <c r="BM252" s="118">
        <v>11000</v>
      </c>
      <c r="BN252" s="118">
        <v>1500</v>
      </c>
      <c r="BO252" s="119">
        <v>21.6</v>
      </c>
      <c r="BP252" s="118">
        <v>1.5</v>
      </c>
      <c r="BQ252" s="119">
        <v>61.2</v>
      </c>
      <c r="BR252" s="118">
        <v>3.8</v>
      </c>
      <c r="BT252" s="115"/>
      <c r="BU252" s="116"/>
      <c r="BV252" s="116"/>
      <c r="BW252" s="116"/>
      <c r="BX252" s="119"/>
      <c r="BY252" s="116"/>
      <c r="BZ252" s="117"/>
      <c r="CA252" s="115"/>
      <c r="CB252" s="99"/>
      <c r="CC252" s="99"/>
      <c r="CD252" s="120"/>
      <c r="CE252" s="100"/>
      <c r="CF252" s="100"/>
      <c r="CG252" s="116"/>
      <c r="CH252" s="96"/>
      <c r="CJ252" s="115">
        <f t="shared" si="215"/>
        <v>18.649789029535867</v>
      </c>
      <c r="CK252" s="113">
        <f t="shared" si="197"/>
        <v>32.026143790849673</v>
      </c>
      <c r="CL252" s="113">
        <f t="shared" si="198"/>
        <v>30.842105263157897</v>
      </c>
      <c r="CM252" s="113">
        <f t="shared" si="199"/>
        <v>36.830835117773013</v>
      </c>
      <c r="CN252" s="113">
        <f t="shared" si="200"/>
        <v>61.437908496732028</v>
      </c>
      <c r="CO252" s="113">
        <f t="shared" si="201"/>
        <v>10.344827586206895</v>
      </c>
      <c r="CP252" s="113">
        <f t="shared" si="202"/>
        <v>129.4403892944039</v>
      </c>
      <c r="CQ252" s="113">
        <f t="shared" si="203"/>
        <v>232.62032085561495</v>
      </c>
      <c r="CR252" s="113">
        <f t="shared" si="204"/>
        <v>401.57480314960628</v>
      </c>
      <c r="CS252" s="113">
        <f t="shared" si="205"/>
        <v>823.32155477031813</v>
      </c>
      <c r="CT252" s="113">
        <f t="shared" si="206"/>
        <v>1450.1510574018125</v>
      </c>
      <c r="CU252" s="113">
        <f t="shared" si="207"/>
        <v>1945.0980392156864</v>
      </c>
      <c r="CV252" s="113">
        <f t="shared" si="208"/>
        <v>2664.705882352941</v>
      </c>
      <c r="CW252" s="113">
        <f t="shared" si="209"/>
        <v>3818.8976377952758</v>
      </c>
    </row>
    <row r="253" spans="1:101" s="98" customFormat="1">
      <c r="A253" s="3" t="s">
        <v>470</v>
      </c>
      <c r="B253" s="3" t="s">
        <v>268</v>
      </c>
      <c r="C253" s="3"/>
      <c r="D253" s="93">
        <v>5.9507000000000003</v>
      </c>
      <c r="E253" s="94">
        <v>0.18870000000000001</v>
      </c>
      <c r="F253" s="94">
        <v>1.2999999999999999E-3</v>
      </c>
      <c r="G253" s="95">
        <v>13.58</v>
      </c>
      <c r="H253" s="96">
        <v>0.42</v>
      </c>
      <c r="I253" s="97">
        <v>0.52259999999999995</v>
      </c>
      <c r="J253" s="95">
        <v>1.4E-2</v>
      </c>
      <c r="K253" s="96">
        <v>0.92139000000000004</v>
      </c>
      <c r="M253" s="99">
        <v>2710</v>
      </c>
      <c r="N253" s="98">
        <v>58</v>
      </c>
      <c r="O253" s="99">
        <v>2731.4</v>
      </c>
      <c r="P253" s="98">
        <v>7.1</v>
      </c>
      <c r="Q253" s="93">
        <v>0.8</v>
      </c>
      <c r="R253" s="97">
        <v>5.0000000000000001E-3</v>
      </c>
      <c r="T253" s="98">
        <v>500</v>
      </c>
      <c r="U253" s="98">
        <v>120</v>
      </c>
      <c r="V253" s="98" t="s">
        <v>250</v>
      </c>
      <c r="W253" s="98" t="s">
        <v>250</v>
      </c>
      <c r="X253" s="98">
        <v>0.32</v>
      </c>
      <c r="Y253" s="98">
        <v>0.2</v>
      </c>
      <c r="Z253" s="98">
        <v>4.4000000000000004</v>
      </c>
      <c r="AA253" s="98">
        <v>1</v>
      </c>
      <c r="AB253" s="98">
        <v>1.7</v>
      </c>
      <c r="AC253" s="98">
        <v>0.47</v>
      </c>
      <c r="AD253" s="98">
        <v>1640</v>
      </c>
      <c r="AE253" s="98">
        <v>130</v>
      </c>
      <c r="AF253" s="95">
        <v>2.8000000000000001E-2</v>
      </c>
      <c r="AG253" s="97">
        <v>2.5000000000000001E-2</v>
      </c>
      <c r="AH253" s="96">
        <v>3.99</v>
      </c>
      <c r="AI253" s="96">
        <v>0.57999999999999996</v>
      </c>
      <c r="AJ253" s="95">
        <v>5.7000000000000002E-2</v>
      </c>
      <c r="AK253" s="95">
        <v>2.1999999999999999E-2</v>
      </c>
      <c r="AL253" s="96">
        <v>1.08</v>
      </c>
      <c r="AM253" s="96">
        <v>0.46</v>
      </c>
      <c r="AN253" s="96">
        <v>2.39</v>
      </c>
      <c r="AO253" s="96">
        <v>0.76</v>
      </c>
      <c r="AP253" s="96">
        <v>0.57999999999999996</v>
      </c>
      <c r="AQ253" s="96">
        <v>0.28999999999999998</v>
      </c>
      <c r="AR253" s="96">
        <v>24.9</v>
      </c>
      <c r="AS253" s="93">
        <v>4.8</v>
      </c>
      <c r="AT253" s="96">
        <v>9.9</v>
      </c>
      <c r="AU253" s="96">
        <v>1.1000000000000001</v>
      </c>
      <c r="AV253" s="99">
        <v>140</v>
      </c>
      <c r="AW253" s="98">
        <v>14</v>
      </c>
      <c r="AX253" s="98">
        <v>57.2</v>
      </c>
      <c r="AY253" s="98">
        <v>6.1</v>
      </c>
      <c r="AZ253" s="98">
        <v>297</v>
      </c>
      <c r="BA253" s="98">
        <v>33</v>
      </c>
      <c r="BB253" s="98">
        <v>62</v>
      </c>
      <c r="BC253" s="98">
        <v>5.5</v>
      </c>
      <c r="BD253" s="98">
        <v>590</v>
      </c>
      <c r="BE253" s="98">
        <v>58</v>
      </c>
      <c r="BF253" s="98">
        <v>119</v>
      </c>
      <c r="BG253" s="98">
        <v>13</v>
      </c>
      <c r="BI253" s="93">
        <v>1.7</v>
      </c>
      <c r="BJ253" s="98">
        <v>1.6</v>
      </c>
      <c r="BK253" s="98">
        <v>490000</v>
      </c>
      <c r="BL253" s="98">
        <v>37000</v>
      </c>
      <c r="BM253" s="98">
        <v>7990</v>
      </c>
      <c r="BN253" s="98">
        <v>760</v>
      </c>
      <c r="BO253" s="99">
        <v>35</v>
      </c>
      <c r="BP253" s="98">
        <v>2</v>
      </c>
      <c r="BQ253" s="99">
        <v>73.3</v>
      </c>
      <c r="BR253" s="98">
        <v>4.5999999999999996</v>
      </c>
      <c r="BT253" s="95">
        <f t="shared" si="189"/>
        <v>0.12423728813559322</v>
      </c>
      <c r="BU253" s="96">
        <f t="shared" si="190"/>
        <v>3.6944444444444442</v>
      </c>
      <c r="BV253" s="96">
        <f t="shared" si="191"/>
        <v>61.326658322903633</v>
      </c>
      <c r="BW253" s="96">
        <f t="shared" si="192"/>
        <v>0.47748976807639837</v>
      </c>
      <c r="BX253" s="99">
        <f t="shared" si="216"/>
        <v>24.487305850741496</v>
      </c>
      <c r="BY253" s="96">
        <f t="shared" si="193"/>
        <v>3.6944444444444442</v>
      </c>
      <c r="BZ253" s="97">
        <f t="shared" si="194"/>
        <v>2.252710027100271E-3</v>
      </c>
      <c r="CA253" s="95">
        <f t="shared" si="195"/>
        <v>0.22985449676023159</v>
      </c>
      <c r="CB253" s="99">
        <f t="shared" si="188"/>
        <v>119.95820740820763</v>
      </c>
      <c r="CC253" s="99">
        <f t="shared" si="188"/>
        <v>7.5280730433527294</v>
      </c>
      <c r="CD253" s="100">
        <f t="shared" si="196"/>
        <v>623.10605691159014</v>
      </c>
      <c r="CE253" s="100">
        <f t="shared" si="210"/>
        <v>653.57660717484316</v>
      </c>
      <c r="CF253" s="100">
        <f t="shared" si="186"/>
        <v>75.829496094576058</v>
      </c>
      <c r="CG253" s="96">
        <f>2.28+3.99*LOG(AH253/((CB253*BI253)^(1/2)))</f>
        <v>7.0471470937392144E-2</v>
      </c>
      <c r="CH253" s="96">
        <f t="shared" si="214"/>
        <v>0.97968871580995009</v>
      </c>
      <c r="CJ253" s="95">
        <f t="shared" si="215"/>
        <v>0.11814345991561183</v>
      </c>
      <c r="CK253" s="93">
        <f t="shared" si="197"/>
        <v>6.5196078431372557</v>
      </c>
      <c r="CL253" s="93">
        <f t="shared" si="198"/>
        <v>0.6</v>
      </c>
      <c r="CM253" s="93">
        <f t="shared" si="199"/>
        <v>2.3126338329764455</v>
      </c>
      <c r="CN253" s="93">
        <f t="shared" si="200"/>
        <v>15.62091503267974</v>
      </c>
      <c r="CO253" s="93">
        <f t="shared" si="201"/>
        <v>9.9999999999999982</v>
      </c>
      <c r="CP253" s="93">
        <f t="shared" si="202"/>
        <v>121.16788321167883</v>
      </c>
      <c r="CQ253" s="93">
        <f t="shared" si="203"/>
        <v>264.70588235294116</v>
      </c>
      <c r="CR253" s="93">
        <f t="shared" si="204"/>
        <v>551.18110236220468</v>
      </c>
      <c r="CS253" s="93">
        <f t="shared" si="205"/>
        <v>1010.6007067137811</v>
      </c>
      <c r="CT253" s="93">
        <f t="shared" si="206"/>
        <v>1794.561933534743</v>
      </c>
      <c r="CU253" s="93">
        <f t="shared" si="207"/>
        <v>2431.372549019608</v>
      </c>
      <c r="CV253" s="93">
        <f t="shared" si="208"/>
        <v>3470.5882352941176</v>
      </c>
      <c r="CW253" s="93">
        <f t="shared" si="209"/>
        <v>4685.0393700787399</v>
      </c>
    </row>
    <row r="254" spans="1:101" s="98" customFormat="1">
      <c r="A254" s="3" t="s">
        <v>471</v>
      </c>
      <c r="B254" s="3" t="s">
        <v>268</v>
      </c>
      <c r="C254" s="3"/>
      <c r="D254" s="93">
        <v>6.4538000000000002</v>
      </c>
      <c r="E254" s="94">
        <v>0.1867</v>
      </c>
      <c r="F254" s="94">
        <v>1.5E-3</v>
      </c>
      <c r="G254" s="95">
        <v>13.39</v>
      </c>
      <c r="H254" s="96">
        <v>0.38</v>
      </c>
      <c r="I254" s="97">
        <v>0.52110000000000001</v>
      </c>
      <c r="J254" s="95">
        <v>1.2999999999999999E-2</v>
      </c>
      <c r="K254" s="96">
        <v>0.84526999999999997</v>
      </c>
      <c r="M254" s="99">
        <v>2703</v>
      </c>
      <c r="N254" s="98">
        <v>54</v>
      </c>
      <c r="O254" s="99">
        <v>2712</v>
      </c>
      <c r="P254" s="98">
        <v>11</v>
      </c>
      <c r="Q254" s="93">
        <v>0.3</v>
      </c>
      <c r="R254" s="97">
        <v>3.8E-3</v>
      </c>
      <c r="T254" s="98">
        <v>480</v>
      </c>
      <c r="U254" s="98">
        <v>110</v>
      </c>
      <c r="V254" s="98" t="s">
        <v>250</v>
      </c>
      <c r="W254" s="98" t="s">
        <v>250</v>
      </c>
      <c r="X254" s="98">
        <v>0.38</v>
      </c>
      <c r="Y254" s="98">
        <v>0.32</v>
      </c>
      <c r="Z254" s="98">
        <v>3.73</v>
      </c>
      <c r="AA254" s="98">
        <v>0.83</v>
      </c>
      <c r="AB254" s="98">
        <v>1.04</v>
      </c>
      <c r="AC254" s="98">
        <v>0.4</v>
      </c>
      <c r="AD254" s="98">
        <v>1960</v>
      </c>
      <c r="AE254" s="98">
        <v>130</v>
      </c>
      <c r="AF254" s="95">
        <v>0.1</v>
      </c>
      <c r="AG254" s="97">
        <v>5.6000000000000001E-2</v>
      </c>
      <c r="AH254" s="96">
        <v>3.71</v>
      </c>
      <c r="AI254" s="96">
        <v>0.81</v>
      </c>
      <c r="AJ254" s="95">
        <v>8.5999999999999993E-2</v>
      </c>
      <c r="AK254" s="95">
        <v>4.4999999999999998E-2</v>
      </c>
      <c r="AL254" s="96">
        <v>1.4</v>
      </c>
      <c r="AM254" s="96">
        <v>1.3</v>
      </c>
      <c r="AN254" s="96">
        <v>3.97</v>
      </c>
      <c r="AO254" s="96">
        <v>0.78</v>
      </c>
      <c r="AP254" s="96">
        <v>0.6</v>
      </c>
      <c r="AQ254" s="96">
        <v>0.17</v>
      </c>
      <c r="AR254" s="96">
        <v>31.5</v>
      </c>
      <c r="AS254" s="93">
        <v>5.6</v>
      </c>
      <c r="AT254" s="96">
        <v>12.6</v>
      </c>
      <c r="AU254" s="96">
        <v>1.8</v>
      </c>
      <c r="AV254" s="99">
        <v>164</v>
      </c>
      <c r="AW254" s="98">
        <v>15</v>
      </c>
      <c r="AX254" s="98">
        <v>66.3</v>
      </c>
      <c r="AY254" s="98">
        <v>7.6</v>
      </c>
      <c r="AZ254" s="98">
        <v>349</v>
      </c>
      <c r="BA254" s="98">
        <v>34</v>
      </c>
      <c r="BB254" s="98">
        <v>66.599999999999994</v>
      </c>
      <c r="BC254" s="98">
        <v>6.5</v>
      </c>
      <c r="BD254" s="98">
        <v>641</v>
      </c>
      <c r="BE254" s="98">
        <v>63</v>
      </c>
      <c r="BF254" s="98">
        <v>124</v>
      </c>
      <c r="BG254" s="98">
        <v>13</v>
      </c>
      <c r="BI254" s="93">
        <v>2</v>
      </c>
      <c r="BJ254" s="98">
        <v>1.7</v>
      </c>
      <c r="BK254" s="98">
        <v>483000</v>
      </c>
      <c r="BL254" s="98">
        <v>38000</v>
      </c>
      <c r="BM254" s="98">
        <v>9900</v>
      </c>
      <c r="BN254" s="98">
        <v>1100</v>
      </c>
      <c r="BO254" s="99">
        <v>28.4</v>
      </c>
      <c r="BP254" s="98">
        <v>2.2000000000000002</v>
      </c>
      <c r="BQ254" s="99">
        <v>63.8</v>
      </c>
      <c r="BR254" s="98">
        <v>4.0999999999999996</v>
      </c>
      <c r="BT254" s="95">
        <f t="shared" si="189"/>
        <v>9.9531981279251169E-2</v>
      </c>
      <c r="BU254" s="96">
        <f t="shared" si="190"/>
        <v>2.6500000000000004</v>
      </c>
      <c r="BV254" s="96">
        <f t="shared" si="191"/>
        <v>48.787878787878789</v>
      </c>
      <c r="BW254" s="96">
        <f t="shared" si="192"/>
        <v>0.44514106583072099</v>
      </c>
      <c r="BX254" s="99">
        <f t="shared" si="216"/>
        <v>9.8086499892849055</v>
      </c>
      <c r="BY254" s="96">
        <f t="shared" si="193"/>
        <v>2.6500000000000004</v>
      </c>
      <c r="BZ254" s="97">
        <f t="shared" si="194"/>
        <v>1.3520408163265308E-3</v>
      </c>
      <c r="CA254" s="95">
        <f t="shared" si="195"/>
        <v>0.16403040419409601</v>
      </c>
      <c r="CB254" s="99">
        <f t="shared" si="188"/>
        <v>104.41110003606612</v>
      </c>
      <c r="CC254" s="99">
        <f t="shared" si="188"/>
        <v>6.7098042342926503</v>
      </c>
      <c r="CD254" s="100">
        <f t="shared" si="196"/>
        <v>635.0754686572069</v>
      </c>
      <c r="CE254" s="100">
        <f t="shared" si="210"/>
        <v>666.37952899277821</v>
      </c>
      <c r="CF254" s="100">
        <f t="shared" si="186"/>
        <v>70.400961939289786</v>
      </c>
      <c r="CG254" s="96">
        <f>2.28+3.99*LOG(AH254/((CB254*BI254)^(1/2)))</f>
        <v>-7.6152551328354523E-2</v>
      </c>
      <c r="CH254" s="96">
        <f t="shared" si="214"/>
        <v>0.94831237003472568</v>
      </c>
      <c r="CJ254" s="95">
        <f t="shared" si="215"/>
        <v>0.42194092827004226</v>
      </c>
      <c r="CK254" s="93">
        <f t="shared" si="197"/>
        <v>6.0620915032679736</v>
      </c>
      <c r="CL254" s="93">
        <f t="shared" si="198"/>
        <v>0.90526315789473677</v>
      </c>
      <c r="CM254" s="93">
        <f t="shared" si="199"/>
        <v>2.9978586723768732</v>
      </c>
      <c r="CN254" s="93">
        <f t="shared" si="200"/>
        <v>25.947712418300654</v>
      </c>
      <c r="CO254" s="93">
        <f t="shared" si="201"/>
        <v>10.344827586206895</v>
      </c>
      <c r="CP254" s="93">
        <f t="shared" si="202"/>
        <v>153.28467153284672</v>
      </c>
      <c r="CQ254" s="93">
        <f t="shared" si="203"/>
        <v>336.89839572192511</v>
      </c>
      <c r="CR254" s="93">
        <f t="shared" si="204"/>
        <v>645.66929133858264</v>
      </c>
      <c r="CS254" s="93">
        <f t="shared" si="205"/>
        <v>1171.3780918727916</v>
      </c>
      <c r="CT254" s="93">
        <f t="shared" si="206"/>
        <v>2108.7613293051359</v>
      </c>
      <c r="CU254" s="93">
        <f t="shared" si="207"/>
        <v>2611.7647058823527</v>
      </c>
      <c r="CV254" s="93">
        <f t="shared" si="208"/>
        <v>3770.5882352941176</v>
      </c>
      <c r="CW254" s="93">
        <f t="shared" si="209"/>
        <v>4881.889763779528</v>
      </c>
    </row>
    <row r="255" spans="1:101" s="98" customFormat="1">
      <c r="A255" s="3" t="s">
        <v>472</v>
      </c>
      <c r="B255" s="3" t="s">
        <v>268</v>
      </c>
      <c r="C255" s="3" t="s">
        <v>454</v>
      </c>
      <c r="D255" s="93">
        <v>2.6042999999999998</v>
      </c>
      <c r="E255" s="94">
        <v>0.20630000000000001</v>
      </c>
      <c r="F255" s="94">
        <v>5.4000000000000003E-3</v>
      </c>
      <c r="G255" s="95">
        <v>17.13</v>
      </c>
      <c r="H255" s="96">
        <v>0.88</v>
      </c>
      <c r="I255" s="97">
        <v>0.60099999999999998</v>
      </c>
      <c r="J255" s="95">
        <v>2.7E-2</v>
      </c>
      <c r="K255" s="96">
        <v>0.76927000000000001</v>
      </c>
      <c r="M255" s="99">
        <v>3031</v>
      </c>
      <c r="N255" s="98">
        <v>110</v>
      </c>
      <c r="O255" s="99">
        <v>2882</v>
      </c>
      <c r="P255" s="98">
        <v>38</v>
      </c>
      <c r="Q255" s="93">
        <v>-5.2</v>
      </c>
      <c r="R255" s="97">
        <v>1.1999999999999999E-3</v>
      </c>
      <c r="T255" s="98">
        <v>870</v>
      </c>
      <c r="U255" s="98">
        <v>390</v>
      </c>
      <c r="V255" s="98">
        <v>3.9</v>
      </c>
      <c r="W255" s="98">
        <v>2.2999999999999998</v>
      </c>
      <c r="X255" s="98" t="s">
        <v>250</v>
      </c>
      <c r="Y255" s="98" t="s">
        <v>250</v>
      </c>
      <c r="Z255" s="98">
        <v>4.7</v>
      </c>
      <c r="AA255" s="98">
        <v>1.5</v>
      </c>
      <c r="AB255" s="98">
        <v>1.28</v>
      </c>
      <c r="AC255" s="98">
        <v>0.55000000000000004</v>
      </c>
      <c r="AD255" s="98">
        <v>1770</v>
      </c>
      <c r="AE255" s="98">
        <v>230</v>
      </c>
      <c r="AF255" s="95">
        <v>0.71</v>
      </c>
      <c r="AG255" s="97">
        <v>0.22</v>
      </c>
      <c r="AH255" s="96">
        <v>6.4</v>
      </c>
      <c r="AI255" s="96">
        <v>1.3</v>
      </c>
      <c r="AJ255" s="95">
        <v>0.38</v>
      </c>
      <c r="AK255" s="95">
        <v>0.13</v>
      </c>
      <c r="AL255" s="96">
        <v>2</v>
      </c>
      <c r="AM255" s="96">
        <v>1.3</v>
      </c>
      <c r="AN255" s="96">
        <v>3.7</v>
      </c>
      <c r="AO255" s="96">
        <v>2.2000000000000002</v>
      </c>
      <c r="AP255" s="96">
        <v>0.71</v>
      </c>
      <c r="AQ255" s="96">
        <v>0.28000000000000003</v>
      </c>
      <c r="AR255" s="96">
        <v>30</v>
      </c>
      <c r="AS255" s="93">
        <v>15</v>
      </c>
      <c r="AT255" s="96">
        <v>12.2</v>
      </c>
      <c r="AU255" s="96">
        <v>4</v>
      </c>
      <c r="AV255" s="99">
        <v>147</v>
      </c>
      <c r="AW255" s="98">
        <v>57</v>
      </c>
      <c r="AX255" s="98">
        <v>65</v>
      </c>
      <c r="AY255" s="98">
        <v>30</v>
      </c>
      <c r="AZ255" s="98">
        <v>290</v>
      </c>
      <c r="BA255" s="98">
        <v>110</v>
      </c>
      <c r="BB255" s="98">
        <v>66</v>
      </c>
      <c r="BC255" s="98">
        <v>20</v>
      </c>
      <c r="BD255" s="98">
        <v>580</v>
      </c>
      <c r="BE255" s="98">
        <v>200</v>
      </c>
      <c r="BF255" s="98">
        <v>128</v>
      </c>
      <c r="BG255" s="98">
        <v>50</v>
      </c>
      <c r="BI255" s="93">
        <v>4.7</v>
      </c>
      <c r="BJ255" s="98">
        <v>4.8</v>
      </c>
      <c r="BK255" s="98">
        <v>510000</v>
      </c>
      <c r="BL255" s="98">
        <v>110000</v>
      </c>
      <c r="BM255" s="98">
        <v>8600</v>
      </c>
      <c r="BN255" s="98">
        <v>2800</v>
      </c>
      <c r="BO255" s="99">
        <v>42.8</v>
      </c>
      <c r="BP255" s="98">
        <v>8.8000000000000007</v>
      </c>
      <c r="BQ255" s="99">
        <v>100</v>
      </c>
      <c r="BR255" s="98">
        <v>20</v>
      </c>
      <c r="BT255" s="95">
        <f t="shared" si="189"/>
        <v>0.17241379310344829</v>
      </c>
      <c r="BU255" s="96">
        <f t="shared" si="190"/>
        <v>3.2</v>
      </c>
      <c r="BV255" s="96">
        <f t="shared" si="191"/>
        <v>59.302325581395351</v>
      </c>
      <c r="BW255" s="96">
        <f t="shared" si="192"/>
        <v>0.42799999999999999</v>
      </c>
      <c r="BX255" s="99">
        <f t="shared" si="216"/>
        <v>3.0209501219521226</v>
      </c>
      <c r="BY255" s="96">
        <f t="shared" si="193"/>
        <v>3.2</v>
      </c>
      <c r="BZ255" s="97">
        <f t="shared" si="194"/>
        <v>1.8079096045197742E-3</v>
      </c>
      <c r="CA255" s="95">
        <f>CO255/SQRT(CN255*CP255)</f>
        <v>0.20602527109769861</v>
      </c>
      <c r="CB255" s="99">
        <f t="shared" si="188"/>
        <v>163.65376181201589</v>
      </c>
      <c r="CC255" s="99">
        <f t="shared" si="188"/>
        <v>32.730752362403173</v>
      </c>
      <c r="CD255" s="100">
        <f t="shared" si="196"/>
        <v>703.65825108924321</v>
      </c>
      <c r="CE255" s="100">
        <f t="shared" si="210"/>
        <v>739.96302873525235</v>
      </c>
      <c r="CF255" s="100">
        <f t="shared" si="186"/>
        <v>97.149672946741973</v>
      </c>
      <c r="CG255" s="96">
        <f>2.28+3.99*LOG(AH255/((CB255*BI255)^(1/2)))</f>
        <v>-0.26095948568007321</v>
      </c>
      <c r="CH255" s="96">
        <f t="shared" si="214"/>
        <v>1.1536302676150165</v>
      </c>
      <c r="CJ255" s="95">
        <f t="shared" si="215"/>
        <v>2.9957805907172994</v>
      </c>
      <c r="CK255" s="93">
        <f t="shared" si="197"/>
        <v>10.457516339869281</v>
      </c>
      <c r="CL255" s="93">
        <f t="shared" si="198"/>
        <v>4</v>
      </c>
      <c r="CM255" s="93">
        <f t="shared" si="199"/>
        <v>4.2826552462526761</v>
      </c>
      <c r="CN255" s="93">
        <f t="shared" si="200"/>
        <v>24.183006535947715</v>
      </c>
      <c r="CO255" s="93">
        <f t="shared" si="201"/>
        <v>12.241379310344826</v>
      </c>
      <c r="CP255" s="93">
        <f t="shared" si="202"/>
        <v>145.98540145985402</v>
      </c>
      <c r="CQ255" s="93">
        <f t="shared" si="203"/>
        <v>326.20320855614972</v>
      </c>
      <c r="CR255" s="93">
        <f t="shared" si="204"/>
        <v>578.74015748031491</v>
      </c>
      <c r="CS255" s="93">
        <f t="shared" si="205"/>
        <v>1148.4098939929329</v>
      </c>
      <c r="CT255" s="93">
        <f t="shared" si="206"/>
        <v>1752.2658610271903</v>
      </c>
      <c r="CU255" s="93">
        <f t="shared" si="207"/>
        <v>2588.2352941176473</v>
      </c>
      <c r="CV255" s="93">
        <f t="shared" si="208"/>
        <v>3411.7647058823527</v>
      </c>
      <c r="CW255" s="93">
        <f t="shared" si="209"/>
        <v>5039.3700787401576</v>
      </c>
    </row>
    <row r="256" spans="1:101" s="118" customFormat="1">
      <c r="A256" s="111" t="s">
        <v>473</v>
      </c>
      <c r="B256" s="111" t="s">
        <v>268</v>
      </c>
      <c r="C256" s="111"/>
      <c r="D256" s="113">
        <v>6.1204999999999998</v>
      </c>
      <c r="E256" s="114">
        <v>0.186</v>
      </c>
      <c r="F256" s="114">
        <v>1.1000000000000001E-3</v>
      </c>
      <c r="G256" s="115">
        <v>14.32</v>
      </c>
      <c r="H256" s="116">
        <v>0.39</v>
      </c>
      <c r="I256" s="117">
        <v>0.55730000000000002</v>
      </c>
      <c r="J256" s="115">
        <v>1.2999999999999999E-2</v>
      </c>
      <c r="K256" s="116">
        <v>0.88853000000000004</v>
      </c>
      <c r="M256" s="119">
        <v>2863</v>
      </c>
      <c r="N256" s="118">
        <v>67</v>
      </c>
      <c r="O256" s="119">
        <v>2706.4</v>
      </c>
      <c r="P256" s="118">
        <v>5</v>
      </c>
      <c r="Q256" s="113">
        <v>-5.0999999999999996</v>
      </c>
      <c r="R256" s="117">
        <v>0</v>
      </c>
      <c r="T256" s="118">
        <v>1000</v>
      </c>
      <c r="U256" s="118">
        <v>320</v>
      </c>
      <c r="V256" s="118" t="s">
        <v>250</v>
      </c>
      <c r="W256" s="118" t="s">
        <v>250</v>
      </c>
      <c r="X256" s="118">
        <v>0.94</v>
      </c>
      <c r="Y256" s="118">
        <v>0.49</v>
      </c>
      <c r="Z256" s="118">
        <v>8.6</v>
      </c>
      <c r="AA256" s="118">
        <v>1.4</v>
      </c>
      <c r="AB256" s="118">
        <v>2.8</v>
      </c>
      <c r="AC256" s="118">
        <v>0.7</v>
      </c>
      <c r="AD256" s="118">
        <v>1720</v>
      </c>
      <c r="AE256" s="118">
        <v>130</v>
      </c>
      <c r="AF256" s="115">
        <v>3.1</v>
      </c>
      <c r="AG256" s="117">
        <v>1.4</v>
      </c>
      <c r="AH256" s="116">
        <v>12.5</v>
      </c>
      <c r="AI256" s="116">
        <v>3.5</v>
      </c>
      <c r="AJ256" s="115">
        <v>1.25</v>
      </c>
      <c r="AK256" s="115">
        <v>0.55000000000000004</v>
      </c>
      <c r="AL256" s="116">
        <v>8.6999999999999993</v>
      </c>
      <c r="AM256" s="116">
        <v>4.5999999999999996</v>
      </c>
      <c r="AN256" s="116">
        <v>5.3</v>
      </c>
      <c r="AO256" s="116">
        <v>1.8</v>
      </c>
      <c r="AP256" s="116">
        <v>0.44</v>
      </c>
      <c r="AQ256" s="116">
        <v>0.25</v>
      </c>
      <c r="AR256" s="116">
        <v>24.2</v>
      </c>
      <c r="AS256" s="113">
        <v>5</v>
      </c>
      <c r="AT256" s="116">
        <v>10</v>
      </c>
      <c r="AU256" s="116">
        <v>1.3</v>
      </c>
      <c r="AV256" s="119">
        <v>143</v>
      </c>
      <c r="AW256" s="118">
        <v>14</v>
      </c>
      <c r="AX256" s="118">
        <v>60.7</v>
      </c>
      <c r="AY256" s="118">
        <v>7.1</v>
      </c>
      <c r="AZ256" s="118">
        <v>298</v>
      </c>
      <c r="BA256" s="118">
        <v>31</v>
      </c>
      <c r="BB256" s="118">
        <v>64.3</v>
      </c>
      <c r="BC256" s="118">
        <v>5.6</v>
      </c>
      <c r="BD256" s="118">
        <v>562</v>
      </c>
      <c r="BE256" s="118">
        <v>46</v>
      </c>
      <c r="BF256" s="118">
        <v>126</v>
      </c>
      <c r="BG256" s="118">
        <v>11</v>
      </c>
      <c r="BI256" s="113">
        <v>0.4</v>
      </c>
      <c r="BJ256" s="118">
        <v>1.7</v>
      </c>
      <c r="BK256" s="118">
        <v>516000</v>
      </c>
      <c r="BL256" s="118">
        <v>57000</v>
      </c>
      <c r="BM256" s="118">
        <v>10200</v>
      </c>
      <c r="BN256" s="118">
        <v>980</v>
      </c>
      <c r="BO256" s="119">
        <v>44</v>
      </c>
      <c r="BP256" s="118">
        <v>4.2</v>
      </c>
      <c r="BQ256" s="119">
        <v>98.9</v>
      </c>
      <c r="BR256" s="118">
        <v>7.9</v>
      </c>
      <c r="BT256" s="115"/>
      <c r="BU256" s="116"/>
      <c r="BV256" s="116"/>
      <c r="BW256" s="116"/>
      <c r="BX256" s="119"/>
      <c r="BY256" s="116"/>
      <c r="BZ256" s="117"/>
      <c r="CA256" s="115"/>
      <c r="CB256" s="99"/>
      <c r="CC256" s="99"/>
      <c r="CD256" s="120"/>
      <c r="CE256" s="100"/>
      <c r="CF256" s="100"/>
      <c r="CG256" s="116"/>
      <c r="CH256" s="96"/>
      <c r="CJ256" s="115">
        <f t="shared" si="215"/>
        <v>13.080168776371309</v>
      </c>
      <c r="CK256" s="113">
        <f t="shared" si="197"/>
        <v>20.424836601307192</v>
      </c>
      <c r="CL256" s="113">
        <f t="shared" si="198"/>
        <v>13.157894736842104</v>
      </c>
      <c r="CM256" s="113">
        <f t="shared" si="199"/>
        <v>18.62955032119914</v>
      </c>
      <c r="CN256" s="113">
        <f t="shared" si="200"/>
        <v>34.640522875816991</v>
      </c>
      <c r="CO256" s="113">
        <f t="shared" si="201"/>
        <v>7.5862068965517242</v>
      </c>
      <c r="CP256" s="113">
        <f t="shared" si="202"/>
        <v>117.76155717761557</v>
      </c>
      <c r="CQ256" s="113">
        <f t="shared" si="203"/>
        <v>267.37967914438502</v>
      </c>
      <c r="CR256" s="113">
        <f t="shared" si="204"/>
        <v>562.99212598425197</v>
      </c>
      <c r="CS256" s="113">
        <f t="shared" si="205"/>
        <v>1072.4381625441697</v>
      </c>
      <c r="CT256" s="113">
        <f t="shared" si="206"/>
        <v>1800.6042296072508</v>
      </c>
      <c r="CU256" s="113">
        <f t="shared" si="207"/>
        <v>2521.5686274509803</v>
      </c>
      <c r="CV256" s="113">
        <f t="shared" si="208"/>
        <v>3305.8823529411761</v>
      </c>
      <c r="CW256" s="113">
        <f t="shared" si="209"/>
        <v>4960.6299212598424</v>
      </c>
    </row>
    <row r="257" spans="1:101" s="118" customFormat="1">
      <c r="A257" s="111" t="s">
        <v>474</v>
      </c>
      <c r="B257" s="111" t="s">
        <v>268</v>
      </c>
      <c r="C257" s="111"/>
      <c r="D257" s="113">
        <v>5.9999000000000002</v>
      </c>
      <c r="E257" s="114">
        <v>0.18679999999999999</v>
      </c>
      <c r="F257" s="114">
        <v>1.2999999999999999E-3</v>
      </c>
      <c r="G257" s="115">
        <v>13.443</v>
      </c>
      <c r="H257" s="116">
        <v>0.34</v>
      </c>
      <c r="I257" s="117">
        <v>0.52300000000000002</v>
      </c>
      <c r="J257" s="115">
        <v>1.0999999999999999E-2</v>
      </c>
      <c r="K257" s="116">
        <v>0.79283000000000003</v>
      </c>
      <c r="M257" s="119">
        <v>2712.1</v>
      </c>
      <c r="N257" s="118">
        <v>48</v>
      </c>
      <c r="O257" s="119">
        <v>2715</v>
      </c>
      <c r="P257" s="118">
        <v>7.7</v>
      </c>
      <c r="Q257" s="113">
        <v>0.1</v>
      </c>
      <c r="R257" s="117">
        <v>1.32E-3</v>
      </c>
      <c r="T257" s="118">
        <v>1010</v>
      </c>
      <c r="U257" s="118">
        <v>170</v>
      </c>
      <c r="V257" s="118" t="s">
        <v>250</v>
      </c>
      <c r="W257" s="118" t="s">
        <v>250</v>
      </c>
      <c r="X257" s="118">
        <v>0.59</v>
      </c>
      <c r="Y257" s="118">
        <v>0.33</v>
      </c>
      <c r="Z257" s="118">
        <v>7.1</v>
      </c>
      <c r="AA257" s="118">
        <v>1.5</v>
      </c>
      <c r="AB257" s="118">
        <v>1.55</v>
      </c>
      <c r="AC257" s="118">
        <v>0.47</v>
      </c>
      <c r="AD257" s="118">
        <v>1600</v>
      </c>
      <c r="AE257" s="118">
        <v>180</v>
      </c>
      <c r="AF257" s="115">
        <v>4.2300000000000004</v>
      </c>
      <c r="AG257" s="117">
        <v>0.84</v>
      </c>
      <c r="AH257" s="116">
        <v>18.399999999999999</v>
      </c>
      <c r="AI257" s="116">
        <v>3.7</v>
      </c>
      <c r="AJ257" s="115">
        <v>2.2999999999999998</v>
      </c>
      <c r="AK257" s="115">
        <v>0.56999999999999995</v>
      </c>
      <c r="AL257" s="116">
        <v>12.1</v>
      </c>
      <c r="AM257" s="116">
        <v>2.2999999999999998</v>
      </c>
      <c r="AN257" s="116">
        <v>6.4</v>
      </c>
      <c r="AO257" s="116">
        <v>2.2999999999999998</v>
      </c>
      <c r="AP257" s="116">
        <v>0.6</v>
      </c>
      <c r="AQ257" s="116">
        <v>0.28000000000000003</v>
      </c>
      <c r="AR257" s="116">
        <v>23</v>
      </c>
      <c r="AS257" s="113">
        <v>4.8</v>
      </c>
      <c r="AT257" s="116">
        <v>9.39</v>
      </c>
      <c r="AU257" s="116">
        <v>0.46</v>
      </c>
      <c r="AV257" s="119">
        <v>135</v>
      </c>
      <c r="AW257" s="118">
        <v>13</v>
      </c>
      <c r="AX257" s="118">
        <v>54.6</v>
      </c>
      <c r="AY257" s="118">
        <v>6.2</v>
      </c>
      <c r="AZ257" s="118">
        <v>263</v>
      </c>
      <c r="BA257" s="118">
        <v>45</v>
      </c>
      <c r="BB257" s="118">
        <v>59.1</v>
      </c>
      <c r="BC257" s="118">
        <v>7.1</v>
      </c>
      <c r="BD257" s="118">
        <v>525</v>
      </c>
      <c r="BE257" s="118">
        <v>67</v>
      </c>
      <c r="BF257" s="118">
        <v>120</v>
      </c>
      <c r="BG257" s="118">
        <v>19</v>
      </c>
      <c r="BI257" s="113">
        <v>4.2</v>
      </c>
      <c r="BJ257" s="118">
        <v>2.2999999999999998</v>
      </c>
      <c r="BK257" s="118">
        <v>510000</v>
      </c>
      <c r="BL257" s="118">
        <v>62000</v>
      </c>
      <c r="BM257" s="118">
        <v>9900</v>
      </c>
      <c r="BN257" s="118">
        <v>1300</v>
      </c>
      <c r="BO257" s="119">
        <v>23.9</v>
      </c>
      <c r="BP257" s="118">
        <v>3</v>
      </c>
      <c r="BQ257" s="119">
        <v>64</v>
      </c>
      <c r="BR257" s="118">
        <v>8.1</v>
      </c>
      <c r="BT257" s="115"/>
      <c r="BU257" s="116"/>
      <c r="BV257" s="116"/>
      <c r="BW257" s="116"/>
      <c r="BX257" s="119"/>
      <c r="BY257" s="116"/>
      <c r="BZ257" s="117"/>
      <c r="CA257" s="115"/>
      <c r="CB257" s="99"/>
      <c r="CC257" s="99"/>
      <c r="CD257" s="120"/>
      <c r="CE257" s="100"/>
      <c r="CF257" s="100"/>
      <c r="CG257" s="116"/>
      <c r="CH257" s="96"/>
      <c r="CJ257" s="115">
        <f t="shared" si="215"/>
        <v>17.848101265822788</v>
      </c>
      <c r="CK257" s="113">
        <f t="shared" si="197"/>
        <v>30.065359477124183</v>
      </c>
      <c r="CL257" s="113">
        <f t="shared" si="198"/>
        <v>24.210526315789473</v>
      </c>
      <c r="CM257" s="113">
        <f t="shared" si="199"/>
        <v>25.910064239828692</v>
      </c>
      <c r="CN257" s="113">
        <f t="shared" si="200"/>
        <v>41.830065359477125</v>
      </c>
      <c r="CO257" s="113">
        <f t="shared" si="201"/>
        <v>10.344827586206895</v>
      </c>
      <c r="CP257" s="113">
        <f t="shared" si="202"/>
        <v>111.92214111922142</v>
      </c>
      <c r="CQ257" s="113">
        <f t="shared" si="203"/>
        <v>251.06951871657753</v>
      </c>
      <c r="CR257" s="113">
        <f t="shared" si="204"/>
        <v>531.49606299212599</v>
      </c>
      <c r="CS257" s="113">
        <f t="shared" si="205"/>
        <v>964.66431095406369</v>
      </c>
      <c r="CT257" s="113">
        <f t="shared" si="206"/>
        <v>1589.1238670694863</v>
      </c>
      <c r="CU257" s="113">
        <f t="shared" si="207"/>
        <v>2317.6470588235297</v>
      </c>
      <c r="CV257" s="113">
        <f t="shared" si="208"/>
        <v>3088.2352941176468</v>
      </c>
      <c r="CW257" s="113">
        <f t="shared" si="209"/>
        <v>4724.4094488188975</v>
      </c>
    </row>
    <row r="258" spans="1:101" s="98" customFormat="1">
      <c r="A258" s="3" t="s">
        <v>475</v>
      </c>
      <c r="B258" s="3" t="s">
        <v>268</v>
      </c>
      <c r="C258" s="3"/>
      <c r="D258" s="93">
        <v>5.0118</v>
      </c>
      <c r="E258" s="94">
        <v>0.19020000000000001</v>
      </c>
      <c r="F258" s="94">
        <v>1.1000000000000001E-3</v>
      </c>
      <c r="G258" s="95">
        <v>14.32</v>
      </c>
      <c r="H258" s="96">
        <v>0.39</v>
      </c>
      <c r="I258" s="97">
        <v>0.54710000000000003</v>
      </c>
      <c r="J258" s="95">
        <v>1.2999999999999999E-2</v>
      </c>
      <c r="K258" s="96">
        <v>0.90076999999999996</v>
      </c>
      <c r="M258" s="99">
        <v>2813</v>
      </c>
      <c r="N258" s="98">
        <v>54</v>
      </c>
      <c r="O258" s="99">
        <v>2745.8</v>
      </c>
      <c r="P258" s="98">
        <v>7.6</v>
      </c>
      <c r="Q258" s="93">
        <v>-2.44</v>
      </c>
      <c r="R258" s="97">
        <v>0</v>
      </c>
      <c r="T258" s="98">
        <v>352</v>
      </c>
      <c r="U258" s="98">
        <v>95</v>
      </c>
      <c r="V258" s="98" t="s">
        <v>250</v>
      </c>
      <c r="W258" s="98" t="s">
        <v>250</v>
      </c>
      <c r="X258" s="98">
        <v>1.4</v>
      </c>
      <c r="Y258" s="98">
        <v>0.67</v>
      </c>
      <c r="Z258" s="98">
        <v>6.5</v>
      </c>
      <c r="AA258" s="98">
        <v>1.7</v>
      </c>
      <c r="AB258" s="98">
        <v>1.64</v>
      </c>
      <c r="AC258" s="98">
        <v>0.54</v>
      </c>
      <c r="AD258" s="98">
        <v>1430</v>
      </c>
      <c r="AE258" s="98">
        <v>160</v>
      </c>
      <c r="AF258" s="95">
        <v>0.219</v>
      </c>
      <c r="AG258" s="97">
        <v>8.4000000000000005E-2</v>
      </c>
      <c r="AH258" s="96">
        <v>5.4</v>
      </c>
      <c r="AI258" s="96">
        <v>1.2</v>
      </c>
      <c r="AJ258" s="95">
        <v>9.2999999999999999E-2</v>
      </c>
      <c r="AK258" s="95">
        <v>2.9000000000000001E-2</v>
      </c>
      <c r="AL258" s="96">
        <v>1.1599999999999999</v>
      </c>
      <c r="AM258" s="96">
        <v>0.56999999999999995</v>
      </c>
      <c r="AN258" s="96">
        <v>2.2000000000000002</v>
      </c>
      <c r="AO258" s="96">
        <v>1</v>
      </c>
      <c r="AP258" s="96">
        <v>0.38</v>
      </c>
      <c r="AQ258" s="96">
        <v>0.21</v>
      </c>
      <c r="AR258" s="96">
        <v>19.899999999999999</v>
      </c>
      <c r="AS258" s="93">
        <v>4.5</v>
      </c>
      <c r="AT258" s="96">
        <v>8.4</v>
      </c>
      <c r="AU258" s="96">
        <v>1.7</v>
      </c>
      <c r="AV258" s="99">
        <v>111</v>
      </c>
      <c r="AW258" s="98">
        <v>22</v>
      </c>
      <c r="AX258" s="98">
        <v>49</v>
      </c>
      <c r="AY258" s="98">
        <v>7</v>
      </c>
      <c r="AZ258" s="98">
        <v>257</v>
      </c>
      <c r="BA258" s="98">
        <v>43</v>
      </c>
      <c r="BB258" s="98">
        <v>54</v>
      </c>
      <c r="BC258" s="98">
        <v>12</v>
      </c>
      <c r="BD258" s="98">
        <v>501</v>
      </c>
      <c r="BE258" s="98">
        <v>92</v>
      </c>
      <c r="BF258" s="98">
        <v>103</v>
      </c>
      <c r="BG258" s="98">
        <v>20</v>
      </c>
      <c r="BI258" s="93">
        <v>3.9</v>
      </c>
      <c r="BJ258" s="98">
        <v>3.2</v>
      </c>
      <c r="BK258" s="98">
        <v>506000</v>
      </c>
      <c r="BL258" s="98">
        <v>60000</v>
      </c>
      <c r="BM258" s="98">
        <v>9200</v>
      </c>
      <c r="BN258" s="98">
        <v>1700</v>
      </c>
      <c r="BO258" s="99">
        <v>23.5</v>
      </c>
      <c r="BP258" s="98">
        <v>3.1</v>
      </c>
      <c r="BQ258" s="99">
        <v>61.7</v>
      </c>
      <c r="BR258" s="98">
        <v>8</v>
      </c>
      <c r="BT258" s="95">
        <f t="shared" si="189"/>
        <v>0.12315369261477047</v>
      </c>
      <c r="BU258" s="96">
        <f t="shared" si="190"/>
        <v>4.6551724137931041</v>
      </c>
      <c r="BV258" s="96">
        <f t="shared" si="191"/>
        <v>55</v>
      </c>
      <c r="BW258" s="96">
        <f t="shared" si="192"/>
        <v>0.38087520259319285</v>
      </c>
      <c r="BX258" s="99">
        <f t="shared" si="216"/>
        <v>9.2771543357923143</v>
      </c>
      <c r="BY258" s="96">
        <f t="shared" si="193"/>
        <v>4.6551724137931041</v>
      </c>
      <c r="BZ258" s="97">
        <f t="shared" si="194"/>
        <v>3.2553653243308422E-3</v>
      </c>
      <c r="CA258" s="95">
        <f t="shared" si="195"/>
        <v>0.17557769891503541</v>
      </c>
      <c r="CB258" s="99">
        <f t="shared" si="188"/>
        <v>100.9743710380138</v>
      </c>
      <c r="CC258" s="99">
        <f t="shared" si="188"/>
        <v>13.09230094496127</v>
      </c>
      <c r="CD258" s="100">
        <f t="shared" si="196"/>
        <v>687.81160422515734</v>
      </c>
      <c r="CE258" s="100">
        <f t="shared" si="210"/>
        <v>722.9268274637484</v>
      </c>
      <c r="CF258" s="100">
        <f t="shared" si="186"/>
        <v>75.876990197943059</v>
      </c>
      <c r="CG258" s="96">
        <f>2.28+3.99*LOG(AH258/((CB258*BI258)^(1/2)))</f>
        <v>2.4675953135434803E-2</v>
      </c>
      <c r="CH258" s="96">
        <f t="shared" si="214"/>
        <v>0.95414347975353109</v>
      </c>
      <c r="CJ258" s="95">
        <f t="shared" si="215"/>
        <v>0.92405063291139244</v>
      </c>
      <c r="CK258" s="93">
        <f t="shared" si="197"/>
        <v>8.8235294117647065</v>
      </c>
      <c r="CL258" s="93">
        <f t="shared" si="198"/>
        <v>0.97894736842105257</v>
      </c>
      <c r="CM258" s="93">
        <f t="shared" si="199"/>
        <v>2.4839400428265521</v>
      </c>
      <c r="CN258" s="93">
        <f t="shared" si="200"/>
        <v>14.379084967320264</v>
      </c>
      <c r="CO258" s="93">
        <f t="shared" si="201"/>
        <v>6.5517241379310338</v>
      </c>
      <c r="CP258" s="93">
        <f t="shared" si="202"/>
        <v>96.836982968369824</v>
      </c>
      <c r="CQ258" s="93">
        <f t="shared" si="203"/>
        <v>224.59893048128342</v>
      </c>
      <c r="CR258" s="93">
        <f t="shared" si="204"/>
        <v>437.00787401574803</v>
      </c>
      <c r="CS258" s="93">
        <f t="shared" si="205"/>
        <v>865.72438162544177</v>
      </c>
      <c r="CT258" s="93">
        <f t="shared" si="206"/>
        <v>1552.8700906344411</v>
      </c>
      <c r="CU258" s="93">
        <f t="shared" si="207"/>
        <v>2117.6470588235297</v>
      </c>
      <c r="CV258" s="93">
        <f t="shared" si="208"/>
        <v>2947.0588235294117</v>
      </c>
      <c r="CW258" s="93">
        <f t="shared" si="209"/>
        <v>4055.1181102362207</v>
      </c>
    </row>
    <row r="259" spans="1:101" s="118" customFormat="1">
      <c r="A259" s="111" t="s">
        <v>476</v>
      </c>
      <c r="B259" s="111" t="s">
        <v>268</v>
      </c>
      <c r="C259" s="111"/>
      <c r="D259" s="113">
        <v>5.8775000000000004</v>
      </c>
      <c r="E259" s="114">
        <v>0.18720000000000001</v>
      </c>
      <c r="F259" s="114">
        <v>1.2999999999999999E-3</v>
      </c>
      <c r="G259" s="115">
        <v>13.95</v>
      </c>
      <c r="H259" s="116">
        <v>0.38</v>
      </c>
      <c r="I259" s="117">
        <v>0.5413</v>
      </c>
      <c r="J259" s="115">
        <v>1.2999999999999999E-2</v>
      </c>
      <c r="K259" s="116">
        <v>0.90266999999999997</v>
      </c>
      <c r="M259" s="119">
        <v>2789</v>
      </c>
      <c r="N259" s="118">
        <v>54</v>
      </c>
      <c r="O259" s="119">
        <v>2718</v>
      </c>
      <c r="P259" s="118">
        <v>4.5999999999999996</v>
      </c>
      <c r="Q259" s="113">
        <v>-2.57</v>
      </c>
      <c r="R259" s="117">
        <v>0</v>
      </c>
      <c r="T259" s="118">
        <v>820</v>
      </c>
      <c r="U259" s="118">
        <v>240</v>
      </c>
      <c r="V259" s="118" t="s">
        <v>250</v>
      </c>
      <c r="W259" s="118" t="s">
        <v>250</v>
      </c>
      <c r="X259" s="118">
        <v>0.54</v>
      </c>
      <c r="Y259" s="118">
        <v>0.24</v>
      </c>
      <c r="Z259" s="118">
        <v>9.4</v>
      </c>
      <c r="AA259" s="118">
        <v>2.2999999999999998</v>
      </c>
      <c r="AB259" s="118">
        <v>2.86</v>
      </c>
      <c r="AC259" s="118">
        <v>0.68</v>
      </c>
      <c r="AD259" s="118">
        <v>1920</v>
      </c>
      <c r="AE259" s="118">
        <v>150</v>
      </c>
      <c r="AF259" s="115">
        <v>1.22</v>
      </c>
      <c r="AG259" s="117">
        <v>0.56999999999999995</v>
      </c>
      <c r="AH259" s="116">
        <v>9.4</v>
      </c>
      <c r="AI259" s="116">
        <v>2.6</v>
      </c>
      <c r="AJ259" s="115">
        <v>0.67</v>
      </c>
      <c r="AK259" s="115">
        <v>0.32</v>
      </c>
      <c r="AL259" s="116">
        <v>4</v>
      </c>
      <c r="AM259" s="116">
        <v>2</v>
      </c>
      <c r="AN259" s="116">
        <v>3.8</v>
      </c>
      <c r="AO259" s="116">
        <v>1.7</v>
      </c>
      <c r="AP259" s="116">
        <v>0.67</v>
      </c>
      <c r="AQ259" s="116">
        <v>0.21</v>
      </c>
      <c r="AR259" s="116">
        <v>27.7</v>
      </c>
      <c r="AS259" s="113">
        <v>6.2</v>
      </c>
      <c r="AT259" s="116">
        <v>12</v>
      </c>
      <c r="AU259" s="116">
        <v>1.7</v>
      </c>
      <c r="AV259" s="119">
        <v>164</v>
      </c>
      <c r="AW259" s="118">
        <v>18</v>
      </c>
      <c r="AX259" s="118">
        <v>67.599999999999994</v>
      </c>
      <c r="AY259" s="118">
        <v>6.5</v>
      </c>
      <c r="AZ259" s="118">
        <v>338</v>
      </c>
      <c r="BA259" s="118">
        <v>40</v>
      </c>
      <c r="BB259" s="118">
        <v>70.900000000000006</v>
      </c>
      <c r="BC259" s="118">
        <v>7.3</v>
      </c>
      <c r="BD259" s="118">
        <v>643</v>
      </c>
      <c r="BE259" s="118">
        <v>86</v>
      </c>
      <c r="BF259" s="118">
        <v>136</v>
      </c>
      <c r="BG259" s="118">
        <v>16</v>
      </c>
      <c r="BI259" s="113">
        <v>1.4</v>
      </c>
      <c r="BJ259" s="118">
        <v>2.8</v>
      </c>
      <c r="BK259" s="118">
        <v>519000</v>
      </c>
      <c r="BL259" s="118">
        <v>65000</v>
      </c>
      <c r="BM259" s="118">
        <v>10000</v>
      </c>
      <c r="BN259" s="118">
        <v>1300</v>
      </c>
      <c r="BO259" s="119">
        <v>45.7</v>
      </c>
      <c r="BP259" s="118">
        <v>3.5</v>
      </c>
      <c r="BQ259" s="119">
        <v>106.1</v>
      </c>
      <c r="BR259" s="118">
        <v>8.1999999999999993</v>
      </c>
      <c r="BT259" s="115"/>
      <c r="BU259" s="116"/>
      <c r="BV259" s="116"/>
      <c r="BW259" s="116"/>
      <c r="BX259" s="119"/>
      <c r="BY259" s="116"/>
      <c r="BZ259" s="117"/>
      <c r="CA259" s="115"/>
      <c r="CB259" s="99">
        <f t="shared" si="188"/>
        <v>173.63664128254882</v>
      </c>
      <c r="CC259" s="99">
        <f t="shared" si="188"/>
        <v>13.419608468585301</v>
      </c>
      <c r="CD259" s="120"/>
      <c r="CE259" s="120"/>
      <c r="CF259" s="100"/>
      <c r="CG259" s="116"/>
      <c r="CH259" s="96"/>
      <c r="CJ259" s="115">
        <f t="shared" si="215"/>
        <v>5.147679324894515</v>
      </c>
      <c r="CK259" s="113">
        <f t="shared" si="197"/>
        <v>15.359477124183007</v>
      </c>
      <c r="CL259" s="113">
        <f t="shared" si="198"/>
        <v>7.052631578947369</v>
      </c>
      <c r="CM259" s="113">
        <f t="shared" si="199"/>
        <v>8.5653104925053523</v>
      </c>
      <c r="CN259" s="113">
        <f t="shared" si="200"/>
        <v>24.836601307189543</v>
      </c>
      <c r="CO259" s="113">
        <f t="shared" si="201"/>
        <v>11.551724137931034</v>
      </c>
      <c r="CP259" s="113">
        <f t="shared" si="202"/>
        <v>134.79318734793188</v>
      </c>
      <c r="CQ259" s="113">
        <f t="shared" si="203"/>
        <v>320.85561497326199</v>
      </c>
      <c r="CR259" s="113">
        <f t="shared" si="204"/>
        <v>645.66929133858264</v>
      </c>
      <c r="CS259" s="113">
        <f t="shared" si="205"/>
        <v>1194.3462897526501</v>
      </c>
      <c r="CT259" s="113">
        <f t="shared" si="206"/>
        <v>2042.2960725075527</v>
      </c>
      <c r="CU259" s="113">
        <f t="shared" si="207"/>
        <v>2780.3921568627457</v>
      </c>
      <c r="CV259" s="113">
        <f t="shared" si="208"/>
        <v>3782.3529411764703</v>
      </c>
      <c r="CW259" s="113">
        <f t="shared" si="209"/>
        <v>5354.3307086614177</v>
      </c>
    </row>
    <row r="260" spans="1:101" s="107" customFormat="1">
      <c r="A260" s="101" t="s">
        <v>281</v>
      </c>
      <c r="B260" s="101"/>
      <c r="C260" s="101"/>
      <c r="D260" s="102"/>
      <c r="E260" s="103"/>
      <c r="F260" s="103"/>
      <c r="G260" s="104"/>
      <c r="H260" s="105"/>
      <c r="I260" s="106"/>
      <c r="J260" s="104"/>
      <c r="K260" s="105"/>
      <c r="M260" s="108"/>
      <c r="O260" s="108"/>
      <c r="R260" s="106"/>
      <c r="AF260" s="104"/>
      <c r="AG260" s="106"/>
      <c r="AH260" s="105"/>
      <c r="AI260" s="105"/>
      <c r="AJ260" s="104"/>
      <c r="AK260" s="104"/>
      <c r="AL260" s="105"/>
      <c r="AM260" s="105"/>
      <c r="AN260" s="105"/>
      <c r="AO260" s="105"/>
      <c r="AP260" s="105"/>
      <c r="AQ260" s="105"/>
      <c r="AR260" s="105"/>
      <c r="AS260" s="102"/>
      <c r="AT260" s="105"/>
      <c r="AU260" s="105"/>
      <c r="AV260" s="108"/>
      <c r="BI260" s="102"/>
      <c r="BO260" s="108"/>
      <c r="BQ260" s="108"/>
      <c r="BT260" s="95"/>
      <c r="BU260" s="96"/>
      <c r="BV260" s="96"/>
      <c r="BW260" s="96"/>
      <c r="BX260" s="108">
        <f>AVERAGE(BX229:BX236,BX238:BX254,BX258)</f>
        <v>47.92826936525811</v>
      </c>
      <c r="BY260" s="96"/>
      <c r="BZ260" s="97"/>
      <c r="CA260" s="104">
        <f>AVERAGE(CA229:CA236,CA238:CA254,CA258)</f>
        <v>0.18857735121487976</v>
      </c>
      <c r="CB260" s="99"/>
      <c r="CC260" s="99"/>
      <c r="CD260" s="109">
        <f>AVERAGE(CD229:CD236,CD238:CD254,CD258)</f>
        <v>658.58046989705679</v>
      </c>
      <c r="CE260" s="109">
        <f>AVERAGE(CE229:CE236,CE238:CE254,CE258)</f>
        <v>691.59132792078537</v>
      </c>
      <c r="CF260" s="100"/>
      <c r="CG260" s="105">
        <f>AVERAGE(CG229:CG236,CG238:CG254,CG258)</f>
        <v>-0.26642836728996561</v>
      </c>
      <c r="CH260" s="105">
        <f>AVERAGE(CH229:CH236,CH238:CH254,CH258)</f>
        <v>0.9750963185928232</v>
      </c>
      <c r="CI260" s="108"/>
      <c r="CJ260" s="95"/>
      <c r="CK260" s="93"/>
      <c r="CL260" s="93"/>
      <c r="CM260" s="93"/>
      <c r="CN260" s="93"/>
      <c r="CO260" s="93"/>
      <c r="CP260" s="93"/>
      <c r="CQ260" s="93"/>
      <c r="CR260" s="93"/>
      <c r="CS260" s="93"/>
      <c r="CT260" s="93"/>
      <c r="CU260" s="93"/>
      <c r="CV260" s="93"/>
      <c r="CW260" s="93"/>
    </row>
    <row r="261" spans="1:101" s="107" customFormat="1">
      <c r="A261" s="101" t="s">
        <v>282</v>
      </c>
      <c r="B261" s="101"/>
      <c r="C261" s="101"/>
      <c r="D261" s="102"/>
      <c r="E261" s="103"/>
      <c r="F261" s="103"/>
      <c r="G261" s="104"/>
      <c r="H261" s="105"/>
      <c r="I261" s="106"/>
      <c r="J261" s="104"/>
      <c r="K261" s="105"/>
      <c r="M261" s="108"/>
      <c r="O261" s="108"/>
      <c r="R261" s="106"/>
      <c r="AF261" s="104"/>
      <c r="AG261" s="106"/>
      <c r="AH261" s="105"/>
      <c r="AI261" s="105"/>
      <c r="AJ261" s="104"/>
      <c r="AK261" s="104"/>
      <c r="AL261" s="105"/>
      <c r="AM261" s="105"/>
      <c r="AN261" s="105"/>
      <c r="AO261" s="105"/>
      <c r="AP261" s="105"/>
      <c r="AQ261" s="105"/>
      <c r="AR261" s="105"/>
      <c r="AS261" s="102"/>
      <c r="AT261" s="105"/>
      <c r="AU261" s="105"/>
      <c r="AV261" s="108"/>
      <c r="BI261" s="102"/>
      <c r="BO261" s="108"/>
      <c r="BQ261" s="108"/>
      <c r="BT261" s="95"/>
      <c r="BU261" s="96"/>
      <c r="BV261" s="96"/>
      <c r="BW261" s="96"/>
      <c r="BX261" s="108">
        <f>MEDIAN(BX229:BX236,BX238:BX254,BX258)</f>
        <v>23.942535302821017</v>
      </c>
      <c r="BY261" s="96"/>
      <c r="BZ261" s="97"/>
      <c r="CA261" s="104">
        <f>MEDIAN(CA229:CA236,CA238:CA254,CA258)</f>
        <v>0.17460745226834395</v>
      </c>
      <c r="CB261" s="99"/>
      <c r="CC261" s="99"/>
      <c r="CD261" s="109">
        <f>MEDIAN(CD229:CD236,CD238:CD254,CD258)</f>
        <v>653.56417259703312</v>
      </c>
      <c r="CE261" s="109">
        <f>MEDIAN(CE229:CE236,CE238:CE254,CE258)</f>
        <v>686.17869449875616</v>
      </c>
      <c r="CF261" s="100"/>
      <c r="CG261" s="105">
        <f>MEDIAN(CG229:CG236,CG238:CG254,CG258)</f>
        <v>-0.21442081147502767</v>
      </c>
      <c r="CH261" s="105">
        <f>MEDIAN(CH229:CH236,CH238:CH254,CH258)</f>
        <v>0.93879643472943797</v>
      </c>
      <c r="CJ261" s="95"/>
      <c r="CK261" s="93"/>
      <c r="CL261" s="93"/>
      <c r="CM261" s="93"/>
      <c r="CN261" s="93"/>
      <c r="CO261" s="93"/>
      <c r="CP261" s="93"/>
      <c r="CQ261" s="93"/>
      <c r="CR261" s="93"/>
      <c r="CS261" s="93"/>
      <c r="CT261" s="93"/>
      <c r="CU261" s="93"/>
      <c r="CV261" s="93"/>
      <c r="CW261" s="93"/>
    </row>
    <row r="262" spans="1:101" s="107" customFormat="1">
      <c r="A262" s="101" t="s">
        <v>204</v>
      </c>
      <c r="B262" s="101"/>
      <c r="C262" s="101"/>
      <c r="D262" s="102"/>
      <c r="E262" s="103"/>
      <c r="F262" s="103"/>
      <c r="G262" s="104"/>
      <c r="H262" s="105"/>
      <c r="I262" s="106"/>
      <c r="J262" s="104"/>
      <c r="K262" s="105"/>
      <c r="M262" s="108"/>
      <c r="O262" s="108"/>
      <c r="R262" s="106"/>
      <c r="AF262" s="104"/>
      <c r="AG262" s="106"/>
      <c r="AH262" s="105"/>
      <c r="AI262" s="105"/>
      <c r="AJ262" s="104"/>
      <c r="AK262" s="104"/>
      <c r="AL262" s="105"/>
      <c r="AM262" s="105"/>
      <c r="AN262" s="105"/>
      <c r="AO262" s="105"/>
      <c r="AP262" s="105"/>
      <c r="AQ262" s="105"/>
      <c r="AR262" s="105"/>
      <c r="AS262" s="102"/>
      <c r="AT262" s="105"/>
      <c r="AU262" s="105"/>
      <c r="AV262" s="108"/>
      <c r="BI262" s="102"/>
      <c r="BO262" s="108"/>
      <c r="BQ262" s="108"/>
      <c r="BT262" s="95"/>
      <c r="BU262" s="96"/>
      <c r="BV262" s="96"/>
      <c r="BW262" s="96"/>
      <c r="BX262" s="108">
        <f>_xlfn.STDEV.S(BX229:BX236,BX238:BX254,BX258)</f>
        <v>63.080824455473149</v>
      </c>
      <c r="BY262" s="96"/>
      <c r="BZ262" s="97"/>
      <c r="CA262" s="104">
        <f>_xlfn.STDEV.S(CA229:CA236,CA238:CA254,CA258)</f>
        <v>5.3081828362325792E-2</v>
      </c>
      <c r="CB262" s="99"/>
      <c r="CC262" s="99"/>
      <c r="CD262" s="109">
        <f>_xlfn.STDEV.S(CD229:CD236,CD238:CD254,CD258)</f>
        <v>30.468713279670435</v>
      </c>
      <c r="CE262" s="109">
        <f>_xlfn.STDEV.S(CE229:CE236,CE238:CE254,CE258)</f>
        <v>32.686983274834695</v>
      </c>
      <c r="CF262" s="100"/>
      <c r="CG262" s="105">
        <f>_xlfn.STDEV.S(CG229:CG236,CG238:CG254,CG258)</f>
        <v>0.56029306399153977</v>
      </c>
      <c r="CH262" s="105">
        <f>_xlfn.STDEV.S(CH229:CH236,CH238:CH254,CH258)</f>
        <v>0.30570774858072119</v>
      </c>
      <c r="CI262" s="108"/>
      <c r="CJ262" s="95"/>
      <c r="CK262" s="93"/>
      <c r="CL262" s="93"/>
      <c r="CM262" s="93"/>
      <c r="CN262" s="93"/>
      <c r="CO262" s="93"/>
      <c r="CP262" s="93"/>
      <c r="CQ262" s="93"/>
      <c r="CR262" s="93"/>
      <c r="CS262" s="93"/>
      <c r="CT262" s="93"/>
      <c r="CU262" s="93"/>
      <c r="CV262" s="93"/>
      <c r="CW262" s="93"/>
    </row>
    <row r="263" spans="1:101" s="107" customFormat="1">
      <c r="A263" s="101" t="s">
        <v>283</v>
      </c>
      <c r="B263" s="101"/>
      <c r="C263" s="101"/>
      <c r="D263" s="102"/>
      <c r="E263" s="103"/>
      <c r="F263" s="103"/>
      <c r="G263" s="104"/>
      <c r="H263" s="105"/>
      <c r="I263" s="106"/>
      <c r="J263" s="104"/>
      <c r="K263" s="105"/>
      <c r="M263" s="108"/>
      <c r="O263" s="108"/>
      <c r="R263" s="106"/>
      <c r="AF263" s="104"/>
      <c r="AG263" s="106"/>
      <c r="AH263" s="105"/>
      <c r="AI263" s="105"/>
      <c r="AJ263" s="104"/>
      <c r="AK263" s="104"/>
      <c r="AL263" s="105"/>
      <c r="AM263" s="105"/>
      <c r="AN263" s="105"/>
      <c r="AO263" s="105"/>
      <c r="AP263" s="105"/>
      <c r="AQ263" s="105"/>
      <c r="AR263" s="105"/>
      <c r="AS263" s="102"/>
      <c r="AT263" s="105"/>
      <c r="AU263" s="105"/>
      <c r="AV263" s="108"/>
      <c r="BI263" s="102"/>
      <c r="BO263" s="108"/>
      <c r="BQ263" s="108"/>
      <c r="BT263" s="95"/>
      <c r="BU263" s="96"/>
      <c r="BV263" s="96"/>
      <c r="BW263" s="96"/>
      <c r="BX263" s="105">
        <f>BX262/BX260</f>
        <v>1.3161506829036207</v>
      </c>
      <c r="BY263" s="96"/>
      <c r="BZ263" s="97"/>
      <c r="CA263" s="104">
        <f>CA262/CA260</f>
        <v>0.28148570345460106</v>
      </c>
      <c r="CB263" s="99"/>
      <c r="CC263" s="99"/>
      <c r="CD263" s="110">
        <f>CD262/CD260</f>
        <v>4.6264222327201752E-2</v>
      </c>
      <c r="CE263" s="110">
        <f>CE262/CE260</f>
        <v>4.726343717048264E-2</v>
      </c>
      <c r="CF263" s="100"/>
      <c r="CG263" s="105">
        <f>CG262/CG260</f>
        <v>-2.1029782589995323</v>
      </c>
      <c r="CH263" s="105">
        <f>CH262/CH260</f>
        <v>0.3135154371435766</v>
      </c>
      <c r="CJ263" s="95"/>
      <c r="CK263" s="93"/>
      <c r="CL263" s="93"/>
      <c r="CM263" s="93"/>
      <c r="CN263" s="93"/>
      <c r="CO263" s="93"/>
      <c r="CP263" s="93"/>
      <c r="CQ263" s="93"/>
      <c r="CR263" s="93"/>
      <c r="CS263" s="93"/>
      <c r="CT263" s="93"/>
      <c r="CU263" s="93"/>
      <c r="CV263" s="93"/>
      <c r="CW263" s="93"/>
    </row>
    <row r="264" spans="1:101" s="107" customFormat="1">
      <c r="A264" s="101"/>
      <c r="B264" s="101"/>
      <c r="C264" s="101"/>
      <c r="D264" s="102"/>
      <c r="E264" s="103"/>
      <c r="F264" s="103"/>
      <c r="G264" s="104"/>
      <c r="H264" s="105"/>
      <c r="I264" s="106"/>
      <c r="J264" s="104"/>
      <c r="K264" s="105"/>
      <c r="M264" s="108"/>
      <c r="O264" s="108"/>
      <c r="R264" s="106"/>
      <c r="AF264" s="104"/>
      <c r="AG264" s="106"/>
      <c r="AH264" s="105"/>
      <c r="AI264" s="105"/>
      <c r="AJ264" s="104"/>
      <c r="AK264" s="104"/>
      <c r="AL264" s="105"/>
      <c r="AM264" s="105"/>
      <c r="AN264" s="105"/>
      <c r="AO264" s="105"/>
      <c r="AP264" s="105"/>
      <c r="AQ264" s="105"/>
      <c r="AR264" s="105"/>
      <c r="AS264" s="102"/>
      <c r="AT264" s="105"/>
      <c r="AU264" s="105"/>
      <c r="AV264" s="108"/>
      <c r="BI264" s="102"/>
      <c r="BO264" s="108"/>
      <c r="BQ264" s="108"/>
      <c r="BT264" s="95"/>
      <c r="BU264" s="96"/>
      <c r="BV264" s="96"/>
      <c r="BW264" s="96"/>
      <c r="BX264" s="99"/>
      <c r="BY264" s="96"/>
      <c r="BZ264" s="97"/>
      <c r="CA264" s="95"/>
      <c r="CB264" s="99"/>
      <c r="CC264" s="99"/>
      <c r="CD264" s="100"/>
      <c r="CE264" s="100"/>
      <c r="CF264" s="100"/>
      <c r="CG264" s="105"/>
      <c r="CH264" s="96"/>
      <c r="CJ264" s="95"/>
      <c r="CK264" s="93"/>
      <c r="CL264" s="93"/>
      <c r="CM264" s="93"/>
      <c r="CN264" s="93"/>
      <c r="CO264" s="93"/>
      <c r="CP264" s="93"/>
      <c r="CQ264" s="93"/>
      <c r="CR264" s="93"/>
      <c r="CS264" s="93"/>
      <c r="CT264" s="93"/>
      <c r="CU264" s="93"/>
      <c r="CV264" s="93"/>
      <c r="CW264" s="93"/>
    </row>
    <row r="265" spans="1:101" s="98" customFormat="1">
      <c r="A265" s="3"/>
      <c r="B265" s="3"/>
      <c r="C265" s="3"/>
      <c r="D265" s="93"/>
      <c r="E265" s="94"/>
      <c r="F265" s="94"/>
      <c r="G265" s="95"/>
      <c r="H265" s="96"/>
      <c r="I265" s="97"/>
      <c r="J265" s="95"/>
      <c r="K265" s="96"/>
      <c r="M265" s="99"/>
      <c r="O265" s="99"/>
      <c r="R265" s="97"/>
      <c r="AF265" s="95"/>
      <c r="AG265" s="97"/>
      <c r="AH265" s="96"/>
      <c r="AI265" s="96"/>
      <c r="AJ265" s="95"/>
      <c r="AK265" s="95"/>
      <c r="AL265" s="96"/>
      <c r="AM265" s="96"/>
      <c r="AN265" s="96"/>
      <c r="AO265" s="96"/>
      <c r="AP265" s="96"/>
      <c r="AQ265" s="96"/>
      <c r="AR265" s="96"/>
      <c r="AS265" s="93"/>
      <c r="AT265" s="96"/>
      <c r="AU265" s="96"/>
      <c r="AV265" s="99"/>
      <c r="BI265" s="93"/>
      <c r="BO265" s="99"/>
      <c r="BQ265" s="99"/>
      <c r="BT265" s="95"/>
      <c r="BU265" s="96"/>
      <c r="BV265" s="96"/>
      <c r="BW265" s="96"/>
      <c r="BX265" s="99"/>
      <c r="BY265" s="96"/>
      <c r="BZ265" s="97"/>
      <c r="CA265" s="95"/>
      <c r="CB265" s="99"/>
      <c r="CC265" s="99"/>
      <c r="CD265" s="100"/>
      <c r="CE265" s="100"/>
      <c r="CF265" s="100"/>
      <c r="CG265" s="96"/>
      <c r="CH265" s="96"/>
      <c r="CJ265" s="95"/>
      <c r="CK265" s="93"/>
      <c r="CL265" s="93"/>
      <c r="CM265" s="93"/>
      <c r="CN265" s="93"/>
      <c r="CO265" s="93"/>
      <c r="CP265" s="93"/>
      <c r="CQ265" s="93"/>
      <c r="CR265" s="93"/>
      <c r="CS265" s="93"/>
      <c r="CT265" s="93"/>
      <c r="CU265" s="93"/>
      <c r="CV265" s="93"/>
      <c r="CW265" s="93"/>
    </row>
    <row r="266" spans="1:101" s="98" customFormat="1">
      <c r="A266" s="3" t="s">
        <v>477</v>
      </c>
      <c r="B266" s="92" t="s">
        <v>244</v>
      </c>
      <c r="C266" s="3"/>
      <c r="D266" s="93">
        <v>11.135999999999999</v>
      </c>
      <c r="E266" s="94">
        <v>0.1845</v>
      </c>
      <c r="F266" s="94">
        <v>1.1000000000000001E-3</v>
      </c>
      <c r="G266" s="95">
        <v>12.646000000000001</v>
      </c>
      <c r="H266" s="96">
        <v>0.37</v>
      </c>
      <c r="I266" s="97">
        <v>0.4985</v>
      </c>
      <c r="J266" s="95">
        <v>1.4E-2</v>
      </c>
      <c r="K266" s="96">
        <v>0.59611999999999998</v>
      </c>
      <c r="M266" s="99">
        <v>2607</v>
      </c>
      <c r="N266" s="98">
        <v>58</v>
      </c>
      <c r="O266" s="99">
        <v>2692.6</v>
      </c>
      <c r="P266" s="98">
        <v>4.4000000000000004</v>
      </c>
      <c r="Q266" s="93">
        <v>3.17</v>
      </c>
      <c r="R266" s="97">
        <v>1.03E-2</v>
      </c>
      <c r="T266" s="98">
        <v>380</v>
      </c>
      <c r="U266" s="98">
        <v>140</v>
      </c>
      <c r="V266" s="98">
        <v>0.7</v>
      </c>
      <c r="W266" s="98">
        <v>1.5</v>
      </c>
      <c r="X266" s="98">
        <v>0.43</v>
      </c>
      <c r="Y266" s="98">
        <v>0.25</v>
      </c>
      <c r="Z266" s="98">
        <v>2.3199999999999998</v>
      </c>
      <c r="AA266" s="98">
        <v>0.76</v>
      </c>
      <c r="AB266" s="98">
        <v>1.1000000000000001</v>
      </c>
      <c r="AC266" s="98">
        <v>0.42</v>
      </c>
      <c r="AD266" s="98">
        <v>1670</v>
      </c>
      <c r="AE266" s="98">
        <v>160</v>
      </c>
      <c r="AF266" s="95">
        <v>2.3E-2</v>
      </c>
      <c r="AG266" s="97">
        <v>0.02</v>
      </c>
      <c r="AH266" s="96">
        <v>19.8</v>
      </c>
      <c r="AI266" s="96">
        <v>3.3</v>
      </c>
      <c r="AJ266" s="95">
        <v>0.312</v>
      </c>
      <c r="AK266" s="95">
        <v>8.3000000000000004E-2</v>
      </c>
      <c r="AL266" s="96">
        <v>3.99</v>
      </c>
      <c r="AM266" s="96">
        <v>0.92</v>
      </c>
      <c r="AN266" s="96">
        <v>7.7</v>
      </c>
      <c r="AO266" s="96">
        <v>1.7</v>
      </c>
      <c r="AP266" s="96">
        <v>1.06</v>
      </c>
      <c r="AQ266" s="96">
        <v>0.28000000000000003</v>
      </c>
      <c r="AR266" s="96">
        <v>38.200000000000003</v>
      </c>
      <c r="AS266" s="93">
        <v>7.3</v>
      </c>
      <c r="AT266" s="96">
        <v>13.4</v>
      </c>
      <c r="AU266" s="96">
        <v>1.6</v>
      </c>
      <c r="AV266" s="99">
        <v>156</v>
      </c>
      <c r="AW266" s="98">
        <v>16</v>
      </c>
      <c r="AX266" s="98">
        <v>56.7</v>
      </c>
      <c r="AY266" s="98">
        <v>8.1</v>
      </c>
      <c r="AZ266" s="98">
        <v>276</v>
      </c>
      <c r="BA266" s="98">
        <v>36</v>
      </c>
      <c r="BB266" s="98">
        <v>51.1</v>
      </c>
      <c r="BC266" s="98">
        <v>6.2</v>
      </c>
      <c r="BD266" s="98">
        <v>421</v>
      </c>
      <c r="BE266" s="98">
        <v>49</v>
      </c>
      <c r="BF266" s="98">
        <v>85</v>
      </c>
      <c r="BG266" s="98">
        <v>11</v>
      </c>
      <c r="BI266" s="93">
        <v>6.4</v>
      </c>
      <c r="BJ266" s="98">
        <v>2.8</v>
      </c>
      <c r="BK266" s="98">
        <v>539000</v>
      </c>
      <c r="BL266" s="98">
        <v>61000</v>
      </c>
      <c r="BM266" s="98">
        <v>10800</v>
      </c>
      <c r="BN266" s="98">
        <v>1200</v>
      </c>
      <c r="BO266" s="99">
        <v>101</v>
      </c>
      <c r="BP266" s="98">
        <v>11</v>
      </c>
      <c r="BQ266" s="99">
        <v>105</v>
      </c>
      <c r="BR266" s="98">
        <v>12</v>
      </c>
      <c r="BT266" s="95">
        <f t="shared" ref="BT266:BT304" si="217">BQ266/BD266</f>
        <v>0.24940617577197149</v>
      </c>
      <c r="BU266" s="96">
        <f t="shared" ref="BU266:BU304" si="218">AH266/AL266</f>
        <v>4.9624060150375939</v>
      </c>
      <c r="BV266" s="96">
        <f t="shared" ref="BV266:BV304" si="219">BK266/BM266</f>
        <v>49.907407407407405</v>
      </c>
      <c r="BW266" s="96">
        <f t="shared" ref="BW266:BW304" si="220">BO266/BQ266</f>
        <v>0.96190476190476193</v>
      </c>
      <c r="BX266" s="99">
        <f>CK266/SQRT(CJ266*CL266)</f>
        <v>57.307112800956546</v>
      </c>
      <c r="BY266" s="96">
        <f t="shared" ref="BY266:BY304" si="221">AH266/AL266</f>
        <v>4.9624060150375939</v>
      </c>
      <c r="BZ266" s="97">
        <f t="shared" ref="BZ266:BZ304" si="222">(AH266/AL266)/AD266</f>
        <v>2.9715006078069425E-3</v>
      </c>
      <c r="CA266" s="95">
        <f t="shared" ref="CA266:CA332" si="223">CO266/SQRT(CN266*CP266)</f>
        <v>0.1889524189897521</v>
      </c>
      <c r="CB266" s="99">
        <f t="shared" si="188"/>
        <v>171.83644990261666</v>
      </c>
      <c r="CC266" s="99">
        <f t="shared" si="188"/>
        <v>19.638451417441907</v>
      </c>
      <c r="CD266" s="100">
        <f t="shared" ref="CD266:CD304" si="224">4800/(5.711-LOG(BI266)-LOG(1)+LOG(0.75))-273.15</f>
        <v>731.05903980121229</v>
      </c>
      <c r="CE266" s="100">
        <f>4800/(5.711-LOG(BI266)-LOG(1)+LOG(0.5))-273.15</f>
        <v>769.46922641004141</v>
      </c>
      <c r="CF266" s="100">
        <f t="shared" ref="CF266:CF329" si="225">((((4800^2)*(BI266^2)*(0.072^2)+(4800^2)*(BJ266^2)+(BI266^2)*(86^2)*((5.711-LOG(BI266))^2))/((BI266^2)*(5.711-LOG(BI266))^4))^(1/2))/2</f>
        <v>45.093388801408871</v>
      </c>
      <c r="CG266" s="96">
        <f>2.28+3.99*LOG(AH266/((CB266*BI266)^(1/2)))</f>
        <v>1.3863100541071016</v>
      </c>
      <c r="CH266" s="96">
        <f t="shared" si="214"/>
        <v>0.60658246786661651</v>
      </c>
      <c r="CJ266" s="95">
        <f>AF266/CJ$4</f>
        <v>9.7046413502109713E-2</v>
      </c>
      <c r="CK266" s="93">
        <f t="shared" ref="CK266:CK305" si="226">AH266/CK$4</f>
        <v>32.352941176470587</v>
      </c>
      <c r="CL266" s="93">
        <f t="shared" ref="CL266:CL305" si="227">AJ266/CL$4</f>
        <v>3.2842105263157895</v>
      </c>
      <c r="CM266" s="93">
        <f t="shared" ref="CM266:CM305" si="228">AL266/CM$4</f>
        <v>8.5438972162740896</v>
      </c>
      <c r="CN266" s="93">
        <f t="shared" ref="CN266:CN305" si="229">AN266/CN$4</f>
        <v>50.326797385620914</v>
      </c>
      <c r="CO266" s="93">
        <f t="shared" ref="CO266:CO305" si="230">AP266/CO$4</f>
        <v>18.275862068965516</v>
      </c>
      <c r="CP266" s="93">
        <f t="shared" ref="CP266:CP305" si="231">AR266/CP$4</f>
        <v>185.88807785888079</v>
      </c>
      <c r="CQ266" s="93">
        <f t="shared" ref="CQ266:CQ305" si="232">AT266/CQ$4</f>
        <v>358.2887700534759</v>
      </c>
      <c r="CR266" s="93">
        <f t="shared" ref="CR266:CR305" si="233">AV266/CR$4</f>
        <v>614.17322834645665</v>
      </c>
      <c r="CS266" s="93">
        <f t="shared" ref="CS266:CS305" si="234">AX266/CS$4</f>
        <v>1001.7667844522969</v>
      </c>
      <c r="CT266" s="93">
        <f t="shared" ref="CT266:CT305" si="235">AZ266/CT$4</f>
        <v>1667.6737160120845</v>
      </c>
      <c r="CU266" s="93">
        <f t="shared" ref="CU266:CU305" si="236">BB266/CU$4</f>
        <v>2003.9215686274511</v>
      </c>
      <c r="CV266" s="93">
        <f t="shared" ref="CV266:CV305" si="237">BD266/CV$4</f>
        <v>2476.4705882352941</v>
      </c>
      <c r="CW266" s="93">
        <f t="shared" ref="CW266:CW305" si="238">BF266/CW$4</f>
        <v>3346.4566929133862</v>
      </c>
    </row>
    <row r="267" spans="1:101" s="98" customFormat="1">
      <c r="A267" s="3" t="s">
        <v>478</v>
      </c>
      <c r="B267" s="92" t="s">
        <v>244</v>
      </c>
      <c r="C267" s="3"/>
      <c r="D267" s="93">
        <v>11.032</v>
      </c>
      <c r="E267" s="94">
        <v>0.18381</v>
      </c>
      <c r="F267" s="94">
        <v>7.9000000000000001E-4</v>
      </c>
      <c r="G267" s="95">
        <v>12.731999999999999</v>
      </c>
      <c r="H267" s="96">
        <v>0.38</v>
      </c>
      <c r="I267" s="97">
        <v>0.50360000000000005</v>
      </c>
      <c r="J267" s="95">
        <v>1.4E-2</v>
      </c>
      <c r="K267" s="96">
        <v>0.80003000000000002</v>
      </c>
      <c r="M267" s="99">
        <v>2629</v>
      </c>
      <c r="N267" s="98">
        <v>59</v>
      </c>
      <c r="O267" s="99">
        <v>2687.4</v>
      </c>
      <c r="P267" s="98">
        <v>2.6</v>
      </c>
      <c r="Q267" s="93">
        <v>2.16</v>
      </c>
      <c r="R267" s="97">
        <v>6.7999999999999996E-3</v>
      </c>
      <c r="T267" s="98">
        <v>400</v>
      </c>
      <c r="U267" s="98">
        <v>160</v>
      </c>
      <c r="V267" s="98" t="s">
        <v>250</v>
      </c>
      <c r="W267" s="98" t="s">
        <v>250</v>
      </c>
      <c r="X267" s="98">
        <v>0.3</v>
      </c>
      <c r="Y267" s="98">
        <v>0.22</v>
      </c>
      <c r="Z267" s="98">
        <v>4.3499999999999996</v>
      </c>
      <c r="AA267" s="98">
        <v>0.92</v>
      </c>
      <c r="AB267" s="98">
        <v>1.28</v>
      </c>
      <c r="AC267" s="98">
        <v>0.46</v>
      </c>
      <c r="AD267" s="98">
        <v>1680</v>
      </c>
      <c r="AE267" s="98">
        <v>230</v>
      </c>
      <c r="AF267" s="95">
        <v>1.0999999999999999E-2</v>
      </c>
      <c r="AG267" s="97">
        <v>1.4999999999999999E-2</v>
      </c>
      <c r="AH267" s="96">
        <v>38.700000000000003</v>
      </c>
      <c r="AI267" s="96">
        <v>5.4</v>
      </c>
      <c r="AJ267" s="95">
        <v>0.14099999999999999</v>
      </c>
      <c r="AK267" s="95">
        <v>4.2999999999999997E-2</v>
      </c>
      <c r="AL267" s="96">
        <v>2.65</v>
      </c>
      <c r="AM267" s="96">
        <v>0.88</v>
      </c>
      <c r="AN267" s="96">
        <v>6.8</v>
      </c>
      <c r="AO267" s="96">
        <v>1.8</v>
      </c>
      <c r="AP267" s="96">
        <v>1.06</v>
      </c>
      <c r="AQ267" s="96">
        <v>0.27</v>
      </c>
      <c r="AR267" s="96">
        <v>37.799999999999997</v>
      </c>
      <c r="AS267" s="93">
        <v>5.7</v>
      </c>
      <c r="AT267" s="96">
        <v>12</v>
      </c>
      <c r="AU267" s="96">
        <v>1.5</v>
      </c>
      <c r="AV267" s="99">
        <v>157</v>
      </c>
      <c r="AW267" s="98">
        <v>18</v>
      </c>
      <c r="AX267" s="98">
        <v>55.3</v>
      </c>
      <c r="AY267" s="98">
        <v>4.8</v>
      </c>
      <c r="AZ267" s="98">
        <v>270</v>
      </c>
      <c r="BA267" s="98">
        <v>26</v>
      </c>
      <c r="BB267" s="98">
        <v>54.3</v>
      </c>
      <c r="BC267" s="98">
        <v>5.9</v>
      </c>
      <c r="BD267" s="98">
        <v>476</v>
      </c>
      <c r="BE267" s="98">
        <v>55</v>
      </c>
      <c r="BF267" s="98">
        <v>92</v>
      </c>
      <c r="BG267" s="98">
        <v>12</v>
      </c>
      <c r="BI267" s="93">
        <v>11.8</v>
      </c>
      <c r="BJ267" s="98">
        <v>3.7</v>
      </c>
      <c r="BK267" s="98">
        <v>560000</v>
      </c>
      <c r="BL267" s="98">
        <v>68000</v>
      </c>
      <c r="BM267" s="98">
        <v>11100</v>
      </c>
      <c r="BN267" s="98">
        <v>1300</v>
      </c>
      <c r="BO267" s="99">
        <v>290</v>
      </c>
      <c r="BP267" s="98">
        <v>30</v>
      </c>
      <c r="BQ267" s="99">
        <v>238</v>
      </c>
      <c r="BR267" s="98">
        <v>25</v>
      </c>
      <c r="BT267" s="95">
        <f t="shared" si="217"/>
        <v>0.5</v>
      </c>
      <c r="BU267" s="96">
        <f t="shared" si="218"/>
        <v>14.603773584905662</v>
      </c>
      <c r="BV267" s="96">
        <f t="shared" si="219"/>
        <v>50.450450450450454</v>
      </c>
      <c r="BW267" s="96">
        <f t="shared" si="220"/>
        <v>1.2184873949579831</v>
      </c>
      <c r="BX267" s="99">
        <f>CK267/SQRT(CJ267*CL267)</f>
        <v>240.92930044067506</v>
      </c>
      <c r="BY267" s="96">
        <f t="shared" si="221"/>
        <v>14.603773584905662</v>
      </c>
      <c r="BZ267" s="97">
        <f t="shared" si="222"/>
        <v>8.6927223719676563E-3</v>
      </c>
      <c r="CA267" s="95">
        <f t="shared" si="223"/>
        <v>0.20212924040928751</v>
      </c>
      <c r="CB267" s="99">
        <f t="shared" si="188"/>
        <v>389.49595311259776</v>
      </c>
      <c r="CC267" s="99">
        <f t="shared" si="188"/>
        <v>40.913440453003972</v>
      </c>
      <c r="CD267" s="100">
        <f t="shared" si="224"/>
        <v>790.16621490863702</v>
      </c>
      <c r="CE267" s="100">
        <f t="shared" ref="CE267:CE304" si="239">4800/(5.711-LOG(BI267)-LOG(1)+LOG(0.5))-273.15</f>
        <v>833.32824647318319</v>
      </c>
      <c r="CF267" s="100">
        <f t="shared" si="225"/>
        <v>37.055142559095479</v>
      </c>
      <c r="CG267" s="96">
        <f>2.28+3.99*LOG(AH267/((CB267*BI267)^(1/2)))</f>
        <v>1.3085087612279689</v>
      </c>
      <c r="CH267" s="96">
        <f t="shared" si="214"/>
        <v>0.48127405419583075</v>
      </c>
      <c r="CJ267" s="95">
        <f>AF267/CJ$4</f>
        <v>4.6413502109704644E-2</v>
      </c>
      <c r="CK267" s="93">
        <f t="shared" si="226"/>
        <v>63.235294117647065</v>
      </c>
      <c r="CL267" s="93">
        <f t="shared" si="227"/>
        <v>1.4842105263157894</v>
      </c>
      <c r="CM267" s="93">
        <f t="shared" si="228"/>
        <v>5.6745182012847959</v>
      </c>
      <c r="CN267" s="93">
        <f t="shared" si="229"/>
        <v>44.444444444444443</v>
      </c>
      <c r="CO267" s="93">
        <f t="shared" si="230"/>
        <v>18.275862068965516</v>
      </c>
      <c r="CP267" s="93">
        <f t="shared" si="231"/>
        <v>183.94160583941604</v>
      </c>
      <c r="CQ267" s="93">
        <f t="shared" si="232"/>
        <v>320.85561497326199</v>
      </c>
      <c r="CR267" s="93">
        <f t="shared" si="233"/>
        <v>618.11023622047242</v>
      </c>
      <c r="CS267" s="93">
        <f t="shared" si="234"/>
        <v>977.03180212014138</v>
      </c>
      <c r="CT267" s="93">
        <f t="shared" si="235"/>
        <v>1631.4199395770393</v>
      </c>
      <c r="CU267" s="93">
        <f t="shared" si="236"/>
        <v>2129.4117647058824</v>
      </c>
      <c r="CV267" s="93">
        <f t="shared" si="237"/>
        <v>2800</v>
      </c>
      <c r="CW267" s="93">
        <f t="shared" si="238"/>
        <v>3622.0472440944882</v>
      </c>
    </row>
    <row r="268" spans="1:101" s="98" customFormat="1">
      <c r="A268" s="3" t="s">
        <v>479</v>
      </c>
      <c r="B268" s="92" t="s">
        <v>244</v>
      </c>
      <c r="C268" s="3"/>
      <c r="D268" s="93">
        <v>11.012</v>
      </c>
      <c r="E268" s="94" t="s">
        <v>480</v>
      </c>
      <c r="F268" s="94" t="s">
        <v>481</v>
      </c>
      <c r="G268" s="95" t="s">
        <v>480</v>
      </c>
      <c r="H268" s="96" t="s">
        <v>481</v>
      </c>
      <c r="I268" s="97" t="s">
        <v>480</v>
      </c>
      <c r="J268" s="95" t="s">
        <v>481</v>
      </c>
      <c r="K268" s="96" t="s">
        <v>482</v>
      </c>
      <c r="M268" s="99" t="s">
        <v>480</v>
      </c>
      <c r="N268" s="98" t="s">
        <v>481</v>
      </c>
      <c r="O268" s="99" t="s">
        <v>480</v>
      </c>
      <c r="P268" s="98" t="s">
        <v>481</v>
      </c>
      <c r="Q268" s="93" t="s">
        <v>480</v>
      </c>
      <c r="R268" s="97" t="s">
        <v>480</v>
      </c>
      <c r="T268" s="98">
        <v>420</v>
      </c>
      <c r="U268" s="98">
        <v>120</v>
      </c>
      <c r="V268" s="98">
        <v>1.8</v>
      </c>
      <c r="W268" s="98">
        <v>2.2999999999999998</v>
      </c>
      <c r="X268" s="98">
        <v>0.19</v>
      </c>
      <c r="Y268" s="98">
        <v>0.17</v>
      </c>
      <c r="Z268" s="98">
        <v>3.4</v>
      </c>
      <c r="AA268" s="98">
        <v>1.1000000000000001</v>
      </c>
      <c r="AB268" s="98">
        <v>1.23</v>
      </c>
      <c r="AC268" s="98">
        <v>0.55000000000000004</v>
      </c>
      <c r="AD268" s="98">
        <v>1830</v>
      </c>
      <c r="AE268" s="98">
        <v>290</v>
      </c>
      <c r="AF268" s="95" t="s">
        <v>250</v>
      </c>
      <c r="AG268" s="97" t="s">
        <v>250</v>
      </c>
      <c r="AH268" s="96">
        <v>26</v>
      </c>
      <c r="AI268" s="96">
        <v>5</v>
      </c>
      <c r="AJ268" s="95">
        <v>0.23699999999999999</v>
      </c>
      <c r="AK268" s="95">
        <v>8.3000000000000004E-2</v>
      </c>
      <c r="AL268" s="96">
        <v>4.5</v>
      </c>
      <c r="AM268" s="96">
        <v>1.3</v>
      </c>
      <c r="AN268" s="96">
        <v>7.9</v>
      </c>
      <c r="AO268" s="96">
        <v>2</v>
      </c>
      <c r="AP268" s="96">
        <v>1.21</v>
      </c>
      <c r="AQ268" s="96">
        <v>0.28999999999999998</v>
      </c>
      <c r="AR268" s="96">
        <v>38.9</v>
      </c>
      <c r="AS268" s="93">
        <v>6.3</v>
      </c>
      <c r="AT268" s="96">
        <v>14</v>
      </c>
      <c r="AU268" s="96">
        <v>2.4</v>
      </c>
      <c r="AV268" s="99">
        <v>168</v>
      </c>
      <c r="AW268" s="98">
        <v>24</v>
      </c>
      <c r="AX268" s="98">
        <v>61.4</v>
      </c>
      <c r="AY268" s="98">
        <v>8.8000000000000007</v>
      </c>
      <c r="AZ268" s="98">
        <v>282</v>
      </c>
      <c r="BA268" s="98">
        <v>41</v>
      </c>
      <c r="BB268" s="98">
        <v>57.3</v>
      </c>
      <c r="BC268" s="98">
        <v>8.6999999999999993</v>
      </c>
      <c r="BD268" s="98">
        <v>516</v>
      </c>
      <c r="BE268" s="98">
        <v>77</v>
      </c>
      <c r="BF268" s="98">
        <v>98</v>
      </c>
      <c r="BG268" s="98">
        <v>14</v>
      </c>
      <c r="BI268" s="93">
        <v>11.1</v>
      </c>
      <c r="BJ268" s="98">
        <v>4.5</v>
      </c>
      <c r="BK268" s="98">
        <v>582000</v>
      </c>
      <c r="BL268" s="98">
        <v>52000</v>
      </c>
      <c r="BM268" s="98">
        <v>11600</v>
      </c>
      <c r="BN268" s="98">
        <v>1700</v>
      </c>
      <c r="BO268" s="99">
        <v>79</v>
      </c>
      <c r="BP268" s="98">
        <v>16</v>
      </c>
      <c r="BQ268" s="99">
        <v>101</v>
      </c>
      <c r="BR268" s="98">
        <v>20</v>
      </c>
      <c r="BT268" s="95">
        <f t="shared" si="217"/>
        <v>0.19573643410852712</v>
      </c>
      <c r="BU268" s="96">
        <f t="shared" si="218"/>
        <v>5.7777777777777777</v>
      </c>
      <c r="BV268" s="96">
        <f t="shared" si="219"/>
        <v>50.172413793103445</v>
      </c>
      <c r="BW268" s="96">
        <f t="shared" si="220"/>
        <v>0.78217821782178221</v>
      </c>
      <c r="BX268" s="99"/>
      <c r="BY268" s="96">
        <f t="shared" si="221"/>
        <v>5.7777777777777777</v>
      </c>
      <c r="BZ268" s="97">
        <f t="shared" si="222"/>
        <v>3.1572556162720099E-3</v>
      </c>
      <c r="CA268" s="95">
        <f t="shared" si="223"/>
        <v>0.21101856189222543</v>
      </c>
      <c r="CB268" s="99">
        <f t="shared" si="188"/>
        <v>165.29029943013603</v>
      </c>
      <c r="CC268" s="99">
        <f t="shared" si="188"/>
        <v>32.730752362403173</v>
      </c>
      <c r="CD268" s="100">
        <f t="shared" si="224"/>
        <v>783.94681975593278</v>
      </c>
      <c r="CE268" s="100">
        <f t="shared" si="239"/>
        <v>826.59528796995721</v>
      </c>
      <c r="CF268" s="100">
        <f t="shared" si="225"/>
        <v>46.321807280331555</v>
      </c>
      <c r="CG268" s="96">
        <f>2.28+3.99*LOG(AH268/((CB268*BI268)^(1/2)))</f>
        <v>1.4149208197337837</v>
      </c>
      <c r="CH268" s="96">
        <f t="shared" si="214"/>
        <v>0.69468641820406696</v>
      </c>
      <c r="CJ268" s="95"/>
      <c r="CK268" s="93">
        <f t="shared" si="226"/>
        <v>42.483660130718953</v>
      </c>
      <c r="CL268" s="93">
        <f t="shared" si="227"/>
        <v>2.4947368421052629</v>
      </c>
      <c r="CM268" s="93">
        <f t="shared" si="228"/>
        <v>9.6359743040685224</v>
      </c>
      <c r="CN268" s="93">
        <f t="shared" si="229"/>
        <v>51.633986928104576</v>
      </c>
      <c r="CO268" s="93">
        <f t="shared" si="230"/>
        <v>20.862068965517238</v>
      </c>
      <c r="CP268" s="93">
        <f t="shared" si="231"/>
        <v>189.29440389294405</v>
      </c>
      <c r="CQ268" s="93">
        <f t="shared" si="232"/>
        <v>374.33155080213902</v>
      </c>
      <c r="CR268" s="93">
        <f t="shared" si="233"/>
        <v>661.41732283464569</v>
      </c>
      <c r="CS268" s="93">
        <f t="shared" si="234"/>
        <v>1084.8056537102473</v>
      </c>
      <c r="CT268" s="93">
        <f t="shared" si="235"/>
        <v>1703.9274924471299</v>
      </c>
      <c r="CU268" s="93">
        <f t="shared" si="236"/>
        <v>2247.0588235294117</v>
      </c>
      <c r="CV268" s="93">
        <f t="shared" si="237"/>
        <v>3035.2941176470586</v>
      </c>
      <c r="CW268" s="93">
        <f t="shared" si="238"/>
        <v>3858.267716535433</v>
      </c>
    </row>
    <row r="269" spans="1:101" s="98" customFormat="1">
      <c r="A269" s="3" t="s">
        <v>483</v>
      </c>
      <c r="B269" s="92" t="s">
        <v>244</v>
      </c>
      <c r="C269" s="3"/>
      <c r="D269" s="93">
        <v>11.007</v>
      </c>
      <c r="E269" s="94">
        <v>0.1835</v>
      </c>
      <c r="F269" s="94">
        <v>1.1999999999999999E-3</v>
      </c>
      <c r="G269" s="95">
        <v>12.872999999999999</v>
      </c>
      <c r="H269" s="96">
        <v>0.38</v>
      </c>
      <c r="I269" s="97">
        <v>0.51019999999999999</v>
      </c>
      <c r="J269" s="95">
        <v>1.4E-2</v>
      </c>
      <c r="K269" s="96">
        <v>0.45113999999999999</v>
      </c>
      <c r="M269" s="99">
        <v>2657.6</v>
      </c>
      <c r="N269" s="98">
        <v>59</v>
      </c>
      <c r="O269" s="99">
        <v>2684.7</v>
      </c>
      <c r="P269" s="98">
        <v>7.3</v>
      </c>
      <c r="Q269" s="93">
        <v>1</v>
      </c>
      <c r="R269" s="97">
        <v>4.0000000000000001E-3</v>
      </c>
      <c r="T269" s="98">
        <v>221</v>
      </c>
      <c r="U269" s="98">
        <v>94</v>
      </c>
      <c r="V269" s="98">
        <v>2.1</v>
      </c>
      <c r="W269" s="98">
        <v>2.1</v>
      </c>
      <c r="X269" s="98">
        <v>0.22</v>
      </c>
      <c r="Y269" s="98">
        <v>0.21</v>
      </c>
      <c r="Z269" s="98">
        <v>1.93</v>
      </c>
      <c r="AA269" s="98">
        <v>0.61</v>
      </c>
      <c r="AB269" s="98">
        <v>0.48</v>
      </c>
      <c r="AC269" s="98">
        <v>0.37</v>
      </c>
      <c r="AD269" s="98">
        <v>1460</v>
      </c>
      <c r="AE269" s="98">
        <v>280</v>
      </c>
      <c r="AF269" s="95">
        <v>5.1999999999999998E-2</v>
      </c>
      <c r="AG269" s="97">
        <v>3.5000000000000003E-2</v>
      </c>
      <c r="AH269" s="96">
        <v>18.600000000000001</v>
      </c>
      <c r="AI269" s="96">
        <v>2.5</v>
      </c>
      <c r="AJ269" s="95">
        <v>0.32700000000000001</v>
      </c>
      <c r="AK269" s="95">
        <v>9.6000000000000002E-2</v>
      </c>
      <c r="AL269" s="96">
        <v>4.0999999999999996</v>
      </c>
      <c r="AM269" s="96">
        <v>1.8</v>
      </c>
      <c r="AN269" s="96">
        <v>10.6</v>
      </c>
      <c r="AO269" s="96">
        <v>3</v>
      </c>
      <c r="AP269" s="96">
        <v>0.85</v>
      </c>
      <c r="AQ269" s="96">
        <v>0.34</v>
      </c>
      <c r="AR269" s="96">
        <v>34</v>
      </c>
      <c r="AS269" s="93">
        <v>5.5</v>
      </c>
      <c r="AT269" s="96">
        <v>10.8</v>
      </c>
      <c r="AU269" s="96">
        <v>1.6</v>
      </c>
      <c r="AV269" s="99">
        <v>136</v>
      </c>
      <c r="AW269" s="98">
        <v>16</v>
      </c>
      <c r="AX269" s="98">
        <v>45.9</v>
      </c>
      <c r="AY269" s="98">
        <v>6.1</v>
      </c>
      <c r="AZ269" s="98">
        <v>215</v>
      </c>
      <c r="BA269" s="98">
        <v>28</v>
      </c>
      <c r="BB269" s="98">
        <v>43.1</v>
      </c>
      <c r="BC269" s="98">
        <v>6.8</v>
      </c>
      <c r="BD269" s="98">
        <v>344</v>
      </c>
      <c r="BE269" s="98">
        <v>43</v>
      </c>
      <c r="BF269" s="98">
        <v>73</v>
      </c>
      <c r="BG269" s="98">
        <v>11</v>
      </c>
      <c r="BI269" s="93">
        <v>11.3</v>
      </c>
      <c r="BJ269" s="98">
        <v>5.9</v>
      </c>
      <c r="BK269" s="98">
        <v>562000</v>
      </c>
      <c r="BL269" s="98">
        <v>99000</v>
      </c>
      <c r="BM269" s="98">
        <v>12400</v>
      </c>
      <c r="BN269" s="98">
        <v>1800</v>
      </c>
      <c r="BO269" s="99">
        <v>76</v>
      </c>
      <c r="BP269" s="98">
        <v>10</v>
      </c>
      <c r="BQ269" s="99">
        <v>80</v>
      </c>
      <c r="BR269" s="98">
        <v>10</v>
      </c>
      <c r="BT269" s="95">
        <f t="shared" si="217"/>
        <v>0.23255813953488372</v>
      </c>
      <c r="BU269" s="96">
        <f t="shared" si="218"/>
        <v>4.536585365853659</v>
      </c>
      <c r="BV269" s="96">
        <f t="shared" si="219"/>
        <v>45.322580645161288</v>
      </c>
      <c r="BW269" s="96">
        <f t="shared" si="220"/>
        <v>0.95</v>
      </c>
      <c r="BX269" s="99">
        <f>CK269/SQRT(CJ269*CL269)</f>
        <v>34.972119167251677</v>
      </c>
      <c r="BY269" s="96">
        <f t="shared" si="221"/>
        <v>4.536585365853659</v>
      </c>
      <c r="BZ269" s="97">
        <f t="shared" si="222"/>
        <v>3.1072502505846982E-3</v>
      </c>
      <c r="CA269" s="95">
        <f t="shared" si="223"/>
        <v>0.13688320633537931</v>
      </c>
      <c r="CB269" s="99">
        <f t="shared" si="188"/>
        <v>130.92300944961269</v>
      </c>
      <c r="CC269" s="99">
        <f t="shared" si="188"/>
        <v>16.365376181201587</v>
      </c>
      <c r="CD269" s="100">
        <f t="shared" si="224"/>
        <v>785.75540306462551</v>
      </c>
      <c r="CE269" s="100">
        <f t="shared" si="239"/>
        <v>828.55288448966792</v>
      </c>
      <c r="CF269" s="100">
        <f t="shared" si="225"/>
        <v>59.029338957043116</v>
      </c>
      <c r="CG269" s="96">
        <f t="shared" ref="CG269:CG296" si="240">2.28+3.99*LOG(AH269/((CB269*BI269)^(1/2)))</f>
        <v>1.0210182733371103</v>
      </c>
      <c r="CH269" s="96">
        <f t="shared" si="214"/>
        <v>0.64019700305004112</v>
      </c>
      <c r="CJ269" s="95">
        <f>AF269/CJ$4</f>
        <v>0.21940928270042195</v>
      </c>
      <c r="CK269" s="93">
        <f t="shared" si="226"/>
        <v>30.3921568627451</v>
      </c>
      <c r="CL269" s="93">
        <f t="shared" si="227"/>
        <v>3.4421052631578948</v>
      </c>
      <c r="CM269" s="93">
        <f t="shared" si="228"/>
        <v>8.7794432548179859</v>
      </c>
      <c r="CN269" s="93">
        <f t="shared" si="229"/>
        <v>69.281045751633982</v>
      </c>
      <c r="CO269" s="93">
        <f t="shared" si="230"/>
        <v>14.655172413793103</v>
      </c>
      <c r="CP269" s="93">
        <f t="shared" si="231"/>
        <v>165.45012165450123</v>
      </c>
      <c r="CQ269" s="93">
        <f t="shared" si="232"/>
        <v>288.77005347593581</v>
      </c>
      <c r="CR269" s="93">
        <f t="shared" si="233"/>
        <v>535.43307086614175</v>
      </c>
      <c r="CS269" s="93">
        <f t="shared" si="234"/>
        <v>810.95406360424033</v>
      </c>
      <c r="CT269" s="93">
        <f t="shared" si="235"/>
        <v>1299.0936555891237</v>
      </c>
      <c r="CU269" s="93">
        <f t="shared" si="236"/>
        <v>1690.1960784313728</v>
      </c>
      <c r="CV269" s="93">
        <f t="shared" si="237"/>
        <v>2023.5294117647056</v>
      </c>
      <c r="CW269" s="93">
        <f t="shared" si="238"/>
        <v>2874.0157480314961</v>
      </c>
    </row>
    <row r="270" spans="1:101" s="98" customFormat="1">
      <c r="A270" s="3" t="s">
        <v>484</v>
      </c>
      <c r="B270" s="92" t="s">
        <v>244</v>
      </c>
      <c r="C270" s="3"/>
      <c r="D270" s="93">
        <v>11.054</v>
      </c>
      <c r="E270" s="94">
        <v>0.18651000000000001</v>
      </c>
      <c r="F270" s="94">
        <v>9.6000000000000002E-4</v>
      </c>
      <c r="G270" s="95">
        <v>14.4</v>
      </c>
      <c r="H270" s="96">
        <v>0.48</v>
      </c>
      <c r="I270" s="97">
        <v>0.56159999999999999</v>
      </c>
      <c r="J270" s="95">
        <v>1.7999999999999999E-2</v>
      </c>
      <c r="K270" s="96">
        <v>0.96345999999999998</v>
      </c>
      <c r="M270" s="99">
        <v>2872</v>
      </c>
      <c r="N270" s="98">
        <v>74</v>
      </c>
      <c r="O270" s="99">
        <v>2710.9</v>
      </c>
      <c r="P270" s="98">
        <v>5.8</v>
      </c>
      <c r="Q270" s="93">
        <v>-6</v>
      </c>
      <c r="R270" s="97">
        <v>-5.0000000000000002E-5</v>
      </c>
      <c r="T270" s="98">
        <v>320</v>
      </c>
      <c r="U270" s="98">
        <v>150</v>
      </c>
      <c r="V270" s="98">
        <v>0.6</v>
      </c>
      <c r="W270" s="98">
        <v>1.6</v>
      </c>
      <c r="X270" s="98">
        <v>0.34</v>
      </c>
      <c r="Y270" s="98">
        <v>0.25</v>
      </c>
      <c r="Z270" s="98">
        <v>2.36</v>
      </c>
      <c r="AA270" s="98">
        <v>0.8</v>
      </c>
      <c r="AB270" s="98">
        <v>0.37</v>
      </c>
      <c r="AC270" s="98">
        <v>0.21</v>
      </c>
      <c r="AD270" s="98">
        <v>2440</v>
      </c>
      <c r="AE270" s="98">
        <v>340</v>
      </c>
      <c r="AF270" s="95">
        <v>0.04</v>
      </c>
      <c r="AG270" s="97">
        <v>2.3E-2</v>
      </c>
      <c r="AH270" s="96">
        <v>23.5</v>
      </c>
      <c r="AI270" s="96">
        <v>3.3</v>
      </c>
      <c r="AJ270" s="95">
        <v>0.44700000000000001</v>
      </c>
      <c r="AK270" s="95">
        <v>9.9000000000000005E-2</v>
      </c>
      <c r="AL270" s="96">
        <v>6.7</v>
      </c>
      <c r="AM270" s="96">
        <v>2.1</v>
      </c>
      <c r="AN270" s="96">
        <v>17.100000000000001</v>
      </c>
      <c r="AO270" s="96">
        <v>3.4</v>
      </c>
      <c r="AP270" s="96">
        <v>2.5499999999999998</v>
      </c>
      <c r="AQ270" s="96">
        <v>0.57999999999999996</v>
      </c>
      <c r="AR270" s="96">
        <v>71</v>
      </c>
      <c r="AS270" s="93">
        <v>12</v>
      </c>
      <c r="AT270" s="96">
        <v>22.3</v>
      </c>
      <c r="AU270" s="96">
        <v>3.5</v>
      </c>
      <c r="AV270" s="99">
        <v>235</v>
      </c>
      <c r="AW270" s="98">
        <v>29</v>
      </c>
      <c r="AX270" s="98">
        <v>82</v>
      </c>
      <c r="AY270" s="98">
        <v>11</v>
      </c>
      <c r="AZ270" s="98">
        <v>336</v>
      </c>
      <c r="BA270" s="98">
        <v>33</v>
      </c>
      <c r="BB270" s="98">
        <v>64.099999999999994</v>
      </c>
      <c r="BC270" s="98">
        <v>7.7</v>
      </c>
      <c r="BD270" s="98">
        <v>538</v>
      </c>
      <c r="BE270" s="98">
        <v>62</v>
      </c>
      <c r="BF270" s="98">
        <v>94</v>
      </c>
      <c r="BG270" s="98">
        <v>10</v>
      </c>
      <c r="BI270" s="93">
        <v>8.5</v>
      </c>
      <c r="BJ270" s="98">
        <v>3.2</v>
      </c>
      <c r="BK270" s="98">
        <v>536000</v>
      </c>
      <c r="BL270" s="98">
        <v>52000</v>
      </c>
      <c r="BM270" s="98">
        <v>9860</v>
      </c>
      <c r="BN270" s="98">
        <v>960</v>
      </c>
      <c r="BO270" s="99">
        <v>101</v>
      </c>
      <c r="BP270" s="98">
        <v>13</v>
      </c>
      <c r="BQ270" s="99">
        <v>101</v>
      </c>
      <c r="BR270" s="98">
        <v>11</v>
      </c>
      <c r="BT270" s="95">
        <f t="shared" si="217"/>
        <v>0.18773234200743494</v>
      </c>
      <c r="BU270" s="96">
        <f t="shared" si="218"/>
        <v>3.5074626865671639</v>
      </c>
      <c r="BV270" s="96">
        <f t="shared" si="219"/>
        <v>54.361054766734277</v>
      </c>
      <c r="BW270" s="96">
        <f t="shared" si="220"/>
        <v>1</v>
      </c>
      <c r="BX270" s="99">
        <f>CK270/SQRT(CJ270*CL270)</f>
        <v>43.089222577072043</v>
      </c>
      <c r="BY270" s="96">
        <f t="shared" si="221"/>
        <v>3.5074626865671639</v>
      </c>
      <c r="BZ270" s="97">
        <f t="shared" si="222"/>
        <v>1.4374847076094933E-3</v>
      </c>
      <c r="CA270" s="95">
        <f t="shared" si="223"/>
        <v>0.22373636908202521</v>
      </c>
      <c r="CB270" s="99">
        <f t="shared" si="188"/>
        <v>165.29029943013603</v>
      </c>
      <c r="CC270" s="99">
        <f t="shared" si="188"/>
        <v>18.001913799321745</v>
      </c>
      <c r="CD270" s="100">
        <f t="shared" si="224"/>
        <v>757.63562877004108</v>
      </c>
      <c r="CE270" s="100">
        <f t="shared" si="239"/>
        <v>798.14679268750581</v>
      </c>
      <c r="CF270" s="100">
        <f t="shared" si="225"/>
        <v>41.227370811043471</v>
      </c>
      <c r="CG270" s="96">
        <f t="shared" si="240"/>
        <v>1.4709665176738154</v>
      </c>
      <c r="CH270" s="96">
        <f t="shared" si="214"/>
        <v>0.53282899535879968</v>
      </c>
      <c r="CJ270" s="95">
        <f>AF270/CJ$4</f>
        <v>0.1687763713080169</v>
      </c>
      <c r="CK270" s="93">
        <f t="shared" si="226"/>
        <v>38.398692810457518</v>
      </c>
      <c r="CL270" s="93">
        <f t="shared" si="227"/>
        <v>4.7052631578947368</v>
      </c>
      <c r="CM270" s="93">
        <f t="shared" si="228"/>
        <v>14.346895074946467</v>
      </c>
      <c r="CN270" s="93">
        <f t="shared" si="229"/>
        <v>111.76470588235296</v>
      </c>
      <c r="CO270" s="93">
        <f t="shared" si="230"/>
        <v>43.965517241379303</v>
      </c>
      <c r="CP270" s="93">
        <f t="shared" si="231"/>
        <v>345.49878345498786</v>
      </c>
      <c r="CQ270" s="93">
        <f t="shared" si="232"/>
        <v>596.2566844919786</v>
      </c>
      <c r="CR270" s="93">
        <f t="shared" si="233"/>
        <v>925.19685039370074</v>
      </c>
      <c r="CS270" s="93">
        <f t="shared" si="234"/>
        <v>1448.7632508833924</v>
      </c>
      <c r="CT270" s="93">
        <f t="shared" si="235"/>
        <v>2030.2114803625377</v>
      </c>
      <c r="CU270" s="93">
        <f t="shared" si="236"/>
        <v>2513.7254901960782</v>
      </c>
      <c r="CV270" s="93">
        <f t="shared" si="237"/>
        <v>3164.705882352941</v>
      </c>
      <c r="CW270" s="93">
        <f t="shared" si="238"/>
        <v>3700.7874015748034</v>
      </c>
    </row>
    <row r="271" spans="1:101" s="98" customFormat="1">
      <c r="A271" s="3" t="s">
        <v>485</v>
      </c>
      <c r="B271" s="92" t="s">
        <v>244</v>
      </c>
      <c r="C271" s="3"/>
      <c r="D271" s="93">
        <v>11.002000000000001</v>
      </c>
      <c r="E271" s="94">
        <v>0.18303</v>
      </c>
      <c r="F271" s="94">
        <v>9.2000000000000003E-4</v>
      </c>
      <c r="G271" s="95">
        <v>13.66</v>
      </c>
      <c r="H271" s="96">
        <v>0.42</v>
      </c>
      <c r="I271" s="97">
        <v>0.54279999999999995</v>
      </c>
      <c r="J271" s="95">
        <v>1.4999999999999999E-2</v>
      </c>
      <c r="K271" s="96">
        <v>0.91386999999999996</v>
      </c>
      <c r="M271" s="99">
        <v>2795</v>
      </c>
      <c r="N271" s="98">
        <v>65</v>
      </c>
      <c r="O271" s="99">
        <v>2680.3</v>
      </c>
      <c r="P271" s="98">
        <v>5</v>
      </c>
      <c r="Q271" s="93">
        <v>-4.2699999999999996</v>
      </c>
      <c r="R271" s="97">
        <v>0</v>
      </c>
      <c r="T271" s="98">
        <v>510</v>
      </c>
      <c r="U271" s="98">
        <v>140</v>
      </c>
      <c r="V271" s="98">
        <v>1.3</v>
      </c>
      <c r="W271" s="98">
        <v>1.7</v>
      </c>
      <c r="X271" s="98">
        <v>0.14000000000000001</v>
      </c>
      <c r="Y271" s="98">
        <v>0.16</v>
      </c>
      <c r="Z271" s="98">
        <v>3.1</v>
      </c>
      <c r="AA271" s="98">
        <v>0.94</v>
      </c>
      <c r="AB271" s="98">
        <v>0.76</v>
      </c>
      <c r="AC271" s="98">
        <v>0.4</v>
      </c>
      <c r="AD271" s="98">
        <v>2280</v>
      </c>
      <c r="AE271" s="98">
        <v>250</v>
      </c>
      <c r="AF271" s="95">
        <v>5.1999999999999998E-2</v>
      </c>
      <c r="AG271" s="97">
        <v>2.9000000000000001E-2</v>
      </c>
      <c r="AH271" s="96">
        <v>23.6</v>
      </c>
      <c r="AI271" s="96">
        <v>3.2</v>
      </c>
      <c r="AJ271" s="95">
        <v>0.35899999999999999</v>
      </c>
      <c r="AK271" s="95">
        <v>8.3000000000000004E-2</v>
      </c>
      <c r="AL271" s="96">
        <v>5.2</v>
      </c>
      <c r="AM271" s="96">
        <v>1.1000000000000001</v>
      </c>
      <c r="AN271" s="96">
        <v>11.7</v>
      </c>
      <c r="AO271" s="96">
        <v>1.7</v>
      </c>
      <c r="AP271" s="96">
        <v>2.17</v>
      </c>
      <c r="AQ271" s="96">
        <v>0.31</v>
      </c>
      <c r="AR271" s="96">
        <v>71.099999999999994</v>
      </c>
      <c r="AS271" s="93">
        <v>9.6</v>
      </c>
      <c r="AT271" s="96">
        <v>21.5</v>
      </c>
      <c r="AU271" s="96">
        <v>2.9</v>
      </c>
      <c r="AV271" s="99">
        <v>243</v>
      </c>
      <c r="AW271" s="98">
        <v>30</v>
      </c>
      <c r="AX271" s="98">
        <v>78.2</v>
      </c>
      <c r="AY271" s="98">
        <v>9.9</v>
      </c>
      <c r="AZ271" s="98">
        <v>373</v>
      </c>
      <c r="BA271" s="98">
        <v>45</v>
      </c>
      <c r="BB271" s="98">
        <v>64.099999999999994</v>
      </c>
      <c r="BC271" s="98">
        <v>7.4</v>
      </c>
      <c r="BD271" s="98">
        <v>538</v>
      </c>
      <c r="BE271" s="98">
        <v>59</v>
      </c>
      <c r="BF271" s="98">
        <v>100</v>
      </c>
      <c r="BG271" s="98">
        <v>12</v>
      </c>
      <c r="BI271" s="93">
        <v>14.2</v>
      </c>
      <c r="BJ271" s="98">
        <v>5.6</v>
      </c>
      <c r="BK271" s="98">
        <v>546000</v>
      </c>
      <c r="BL271" s="98">
        <v>68000</v>
      </c>
      <c r="BM271" s="98">
        <v>10000</v>
      </c>
      <c r="BN271" s="98">
        <v>1200</v>
      </c>
      <c r="BO271" s="99">
        <v>111</v>
      </c>
      <c r="BP271" s="98">
        <v>11</v>
      </c>
      <c r="BQ271" s="99">
        <v>113</v>
      </c>
      <c r="BR271" s="98">
        <v>11</v>
      </c>
      <c r="BT271" s="95">
        <f t="shared" si="217"/>
        <v>0.2100371747211896</v>
      </c>
      <c r="BU271" s="96">
        <f t="shared" si="218"/>
        <v>4.5384615384615383</v>
      </c>
      <c r="BV271" s="96">
        <f t="shared" si="219"/>
        <v>54.6</v>
      </c>
      <c r="BW271" s="96">
        <f t="shared" si="220"/>
        <v>0.98230088495575218</v>
      </c>
      <c r="BX271" s="99">
        <f>CK271/SQRT(CJ271*CL271)</f>
        <v>42.349438876224475</v>
      </c>
      <c r="BY271" s="96">
        <f t="shared" si="221"/>
        <v>4.5384615384615383</v>
      </c>
      <c r="BZ271" s="97">
        <f t="shared" si="222"/>
        <v>1.9905533063427801E-3</v>
      </c>
      <c r="CA271" s="95">
        <f t="shared" si="223"/>
        <v>0.23001472401852111</v>
      </c>
      <c r="CB271" s="99">
        <f t="shared" si="188"/>
        <v>184.92875084757793</v>
      </c>
      <c r="CC271" s="99">
        <f t="shared" si="188"/>
        <v>18.001913799321745</v>
      </c>
      <c r="CD271" s="100">
        <f t="shared" si="224"/>
        <v>809.44942213577372</v>
      </c>
      <c r="CE271" s="100">
        <f t="shared" si="239"/>
        <v>854.22409307698911</v>
      </c>
      <c r="CF271" s="100">
        <f t="shared" si="225"/>
        <v>47.247467869594367</v>
      </c>
      <c r="CG271" s="96">
        <f t="shared" si="240"/>
        <v>0.93642979476307908</v>
      </c>
      <c r="CH271" s="96">
        <f t="shared" si="214"/>
        <v>0.51712409496749401</v>
      </c>
      <c r="CJ271" s="95">
        <f>AF271/CJ$4</f>
        <v>0.21940928270042195</v>
      </c>
      <c r="CK271" s="93">
        <f t="shared" si="226"/>
        <v>38.562091503267979</v>
      </c>
      <c r="CL271" s="93">
        <f t="shared" si="227"/>
        <v>3.7789473684210524</v>
      </c>
      <c r="CM271" s="93">
        <f t="shared" si="228"/>
        <v>11.13490364025696</v>
      </c>
      <c r="CN271" s="93">
        <f t="shared" si="229"/>
        <v>76.470588235294116</v>
      </c>
      <c r="CO271" s="93">
        <f t="shared" si="230"/>
        <v>37.41379310344827</v>
      </c>
      <c r="CP271" s="93">
        <f t="shared" si="231"/>
        <v>345.98540145985402</v>
      </c>
      <c r="CQ271" s="93">
        <f t="shared" si="232"/>
        <v>574.86631016042782</v>
      </c>
      <c r="CR271" s="93">
        <f t="shared" si="233"/>
        <v>956.69291338582673</v>
      </c>
      <c r="CS271" s="93">
        <f t="shared" si="234"/>
        <v>1381.6254416961133</v>
      </c>
      <c r="CT271" s="93">
        <f t="shared" si="235"/>
        <v>2253.7764350453172</v>
      </c>
      <c r="CU271" s="93">
        <f t="shared" si="236"/>
        <v>2513.7254901960782</v>
      </c>
      <c r="CV271" s="93">
        <f t="shared" si="237"/>
        <v>3164.705882352941</v>
      </c>
      <c r="CW271" s="93">
        <f t="shared" si="238"/>
        <v>3937.0078740157483</v>
      </c>
    </row>
    <row r="272" spans="1:101" s="98" customFormat="1">
      <c r="A272" s="3" t="s">
        <v>486</v>
      </c>
      <c r="B272" s="92" t="s">
        <v>244</v>
      </c>
      <c r="C272" s="3"/>
      <c r="D272" s="93">
        <v>11.039</v>
      </c>
      <c r="E272" s="94">
        <v>0.18720000000000001</v>
      </c>
      <c r="F272" s="94">
        <v>2E-3</v>
      </c>
      <c r="G272" s="95">
        <v>14.1</v>
      </c>
      <c r="H272" s="96">
        <v>0.48</v>
      </c>
      <c r="I272" s="97">
        <v>0.54800000000000004</v>
      </c>
      <c r="J272" s="95">
        <v>1.7000000000000001E-2</v>
      </c>
      <c r="K272" s="96">
        <v>0.79525000000000001</v>
      </c>
      <c r="M272" s="99">
        <v>2816</v>
      </c>
      <c r="N272" s="98">
        <v>70</v>
      </c>
      <c r="O272" s="99">
        <v>2718.2</v>
      </c>
      <c r="P272" s="98">
        <v>9.9</v>
      </c>
      <c r="Q272" s="93">
        <v>-3.6</v>
      </c>
      <c r="R272" s="97">
        <v>1.4E-3</v>
      </c>
      <c r="T272" s="98">
        <v>340</v>
      </c>
      <c r="U272" s="98">
        <v>120</v>
      </c>
      <c r="V272" s="98">
        <v>0.7</v>
      </c>
      <c r="W272" s="98">
        <v>1.3</v>
      </c>
      <c r="X272" s="98">
        <v>4.4999999999999998E-2</v>
      </c>
      <c r="Y272" s="98">
        <v>9.2999999999999999E-2</v>
      </c>
      <c r="Z272" s="98">
        <v>1.24</v>
      </c>
      <c r="AA272" s="98">
        <v>0.61</v>
      </c>
      <c r="AB272" s="98">
        <v>0.17</v>
      </c>
      <c r="AC272" s="98">
        <v>0.16</v>
      </c>
      <c r="AD272" s="98">
        <v>740</v>
      </c>
      <c r="AE272" s="98">
        <v>120</v>
      </c>
      <c r="AF272" s="95">
        <v>4.5999999999999999E-2</v>
      </c>
      <c r="AG272" s="97">
        <v>0.02</v>
      </c>
      <c r="AH272" s="96">
        <v>12.5</v>
      </c>
      <c r="AI272" s="96">
        <v>2.1</v>
      </c>
      <c r="AJ272" s="95">
        <v>8.5000000000000006E-2</v>
      </c>
      <c r="AK272" s="95">
        <v>3.5000000000000003E-2</v>
      </c>
      <c r="AL272" s="96">
        <v>1.61</v>
      </c>
      <c r="AM272" s="96">
        <v>0.45</v>
      </c>
      <c r="AN272" s="96">
        <v>2.6</v>
      </c>
      <c r="AO272" s="96">
        <v>1</v>
      </c>
      <c r="AP272" s="96">
        <v>0.6</v>
      </c>
      <c r="AQ272" s="96">
        <v>0.26</v>
      </c>
      <c r="AR272" s="96">
        <v>18.2</v>
      </c>
      <c r="AS272" s="93">
        <v>4.9000000000000004</v>
      </c>
      <c r="AT272" s="96">
        <v>6.1</v>
      </c>
      <c r="AU272" s="96">
        <v>1.7</v>
      </c>
      <c r="AV272" s="99">
        <v>71</v>
      </c>
      <c r="AW272" s="98">
        <v>17</v>
      </c>
      <c r="AX272" s="98">
        <v>25.7</v>
      </c>
      <c r="AY272" s="98">
        <v>4.3</v>
      </c>
      <c r="AZ272" s="98">
        <v>124</v>
      </c>
      <c r="BA272" s="98">
        <v>28</v>
      </c>
      <c r="BB272" s="98">
        <v>23</v>
      </c>
      <c r="BC272" s="98">
        <v>4.5999999999999996</v>
      </c>
      <c r="BD272" s="98">
        <v>187</v>
      </c>
      <c r="BE272" s="98">
        <v>27</v>
      </c>
      <c r="BF272" s="98">
        <v>37.799999999999997</v>
      </c>
      <c r="BG272" s="98">
        <v>6.2</v>
      </c>
      <c r="BI272" s="93">
        <v>9.6999999999999993</v>
      </c>
      <c r="BJ272" s="98">
        <v>3.1</v>
      </c>
      <c r="BK272" s="98">
        <v>481000</v>
      </c>
      <c r="BL272" s="98">
        <v>56000</v>
      </c>
      <c r="BM272" s="98">
        <v>8790</v>
      </c>
      <c r="BN272" s="98">
        <v>780</v>
      </c>
      <c r="BO272" s="99">
        <v>29.4</v>
      </c>
      <c r="BP272" s="98">
        <v>5.4</v>
      </c>
      <c r="BQ272" s="99">
        <v>40.299999999999997</v>
      </c>
      <c r="BR272" s="98">
        <v>4.7</v>
      </c>
      <c r="BT272" s="95">
        <f t="shared" si="217"/>
        <v>0.21550802139037431</v>
      </c>
      <c r="BU272" s="96">
        <f t="shared" si="218"/>
        <v>7.7639751552795024</v>
      </c>
      <c r="BV272" s="96">
        <f t="shared" si="219"/>
        <v>54.721274175199092</v>
      </c>
      <c r="BW272" s="96">
        <f t="shared" si="220"/>
        <v>0.72952853598014888</v>
      </c>
      <c r="BX272" s="99">
        <f>CK272/SQRT(CJ272*CL272)</f>
        <v>49.012424669695449</v>
      </c>
      <c r="BY272" s="96">
        <f t="shared" si="221"/>
        <v>7.7639751552795024</v>
      </c>
      <c r="BZ272" s="97">
        <f t="shared" si="222"/>
        <v>1.0491858317945274E-2</v>
      </c>
      <c r="CA272" s="95">
        <f t="shared" si="223"/>
        <v>0.26665671052697776</v>
      </c>
      <c r="CB272" s="99">
        <f t="shared" si="188"/>
        <v>65.952466010242389</v>
      </c>
      <c r="CC272" s="99">
        <f t="shared" si="188"/>
        <v>7.6917268051647465</v>
      </c>
      <c r="CD272" s="100">
        <f t="shared" si="224"/>
        <v>770.48945118121526</v>
      </c>
      <c r="CE272" s="100">
        <f t="shared" si="239"/>
        <v>812.03761921207808</v>
      </c>
      <c r="CF272" s="100">
        <f t="shared" si="225"/>
        <v>36.385053279617715</v>
      </c>
      <c r="CG272" s="96">
        <f t="shared" si="240"/>
        <v>1.058695419695447</v>
      </c>
      <c r="CH272" s="96">
        <f t="shared" si="214"/>
        <v>0.52284520494509956</v>
      </c>
      <c r="CJ272" s="95">
        <f>AF272/CJ$4</f>
        <v>0.19409282700421943</v>
      </c>
      <c r="CK272" s="93">
        <f t="shared" si="226"/>
        <v>20.424836601307192</v>
      </c>
      <c r="CL272" s="93">
        <f t="shared" si="227"/>
        <v>0.89473684210526316</v>
      </c>
      <c r="CM272" s="93">
        <f t="shared" si="228"/>
        <v>3.4475374732334045</v>
      </c>
      <c r="CN272" s="93">
        <f t="shared" si="229"/>
        <v>16.993464052287582</v>
      </c>
      <c r="CO272" s="93">
        <f t="shared" si="230"/>
        <v>10.344827586206895</v>
      </c>
      <c r="CP272" s="93">
        <f t="shared" si="231"/>
        <v>88.564476885644766</v>
      </c>
      <c r="CQ272" s="93">
        <f t="shared" si="232"/>
        <v>163.10160427807486</v>
      </c>
      <c r="CR272" s="93">
        <f t="shared" si="233"/>
        <v>279.5275590551181</v>
      </c>
      <c r="CS272" s="93">
        <f t="shared" si="234"/>
        <v>454.0636042402827</v>
      </c>
      <c r="CT272" s="93">
        <f t="shared" si="235"/>
        <v>749.24471299093648</v>
      </c>
      <c r="CU272" s="93">
        <f t="shared" si="236"/>
        <v>901.96078431372553</v>
      </c>
      <c r="CV272" s="93">
        <f t="shared" si="237"/>
        <v>1100</v>
      </c>
      <c r="CW272" s="93">
        <f t="shared" si="238"/>
        <v>1488.1889763779527</v>
      </c>
    </row>
    <row r="273" spans="1:101" s="98" customFormat="1">
      <c r="A273" s="3" t="s">
        <v>487</v>
      </c>
      <c r="B273" s="92" t="s">
        <v>244</v>
      </c>
      <c r="C273" s="3"/>
      <c r="D273" s="93">
        <v>11.02</v>
      </c>
      <c r="E273" s="94">
        <v>0.18443999999999999</v>
      </c>
      <c r="F273" s="94">
        <v>8.0000000000000004E-4</v>
      </c>
      <c r="G273" s="95">
        <v>13.56</v>
      </c>
      <c r="H273" s="96">
        <v>0.41</v>
      </c>
      <c r="I273" s="97">
        <v>0.53480000000000005</v>
      </c>
      <c r="J273" s="95">
        <v>1.4999999999999999E-2</v>
      </c>
      <c r="K273" s="96">
        <v>0.90166999999999997</v>
      </c>
      <c r="M273" s="99">
        <v>2761</v>
      </c>
      <c r="N273" s="98">
        <v>63</v>
      </c>
      <c r="O273" s="99">
        <v>2694.1</v>
      </c>
      <c r="P273" s="98">
        <v>3.7</v>
      </c>
      <c r="Q273" s="93">
        <v>-2.5</v>
      </c>
      <c r="R273" s="97">
        <v>2.9999999999999997E-4</v>
      </c>
      <c r="T273" s="98">
        <v>250</v>
      </c>
      <c r="U273" s="98">
        <v>150</v>
      </c>
      <c r="V273" s="98">
        <v>1.7</v>
      </c>
      <c r="W273" s="98">
        <v>1.9</v>
      </c>
      <c r="X273" s="98">
        <v>0.34</v>
      </c>
      <c r="Y273" s="98">
        <v>0.22</v>
      </c>
      <c r="Z273" s="98">
        <v>2.29</v>
      </c>
      <c r="AA273" s="98">
        <v>0.7</v>
      </c>
      <c r="AB273" s="98">
        <v>1.24</v>
      </c>
      <c r="AC273" s="98">
        <v>0.37</v>
      </c>
      <c r="AD273" s="98">
        <v>1710</v>
      </c>
      <c r="AE273" s="98">
        <v>130</v>
      </c>
      <c r="AF273" s="95">
        <v>3.2000000000000001E-2</v>
      </c>
      <c r="AG273" s="97">
        <v>2.3E-2</v>
      </c>
      <c r="AH273" s="96">
        <v>24.1</v>
      </c>
      <c r="AI273" s="96">
        <v>3.2</v>
      </c>
      <c r="AJ273" s="95">
        <v>0.37</v>
      </c>
      <c r="AK273" s="95">
        <v>0.12</v>
      </c>
      <c r="AL273" s="96">
        <v>5.5</v>
      </c>
      <c r="AM273" s="96">
        <v>1.5</v>
      </c>
      <c r="AN273" s="96">
        <v>9.4</v>
      </c>
      <c r="AO273" s="96">
        <v>2</v>
      </c>
      <c r="AP273" s="96">
        <v>1.21</v>
      </c>
      <c r="AQ273" s="96">
        <v>0.33</v>
      </c>
      <c r="AR273" s="96">
        <v>49</v>
      </c>
      <c r="AS273" s="93">
        <v>5.9</v>
      </c>
      <c r="AT273" s="96">
        <v>13.2</v>
      </c>
      <c r="AU273" s="96">
        <v>1.7</v>
      </c>
      <c r="AV273" s="99">
        <v>168</v>
      </c>
      <c r="AW273" s="98">
        <v>14</v>
      </c>
      <c r="AX273" s="98">
        <v>57.4</v>
      </c>
      <c r="AY273" s="98">
        <v>6.4</v>
      </c>
      <c r="AZ273" s="98">
        <v>271</v>
      </c>
      <c r="BA273" s="98">
        <v>21</v>
      </c>
      <c r="BB273" s="98">
        <v>50.9</v>
      </c>
      <c r="BC273" s="98">
        <v>3.8</v>
      </c>
      <c r="BD273" s="98">
        <v>444</v>
      </c>
      <c r="BE273" s="98">
        <v>33</v>
      </c>
      <c r="BF273" s="98">
        <v>84.9</v>
      </c>
      <c r="BG273" s="98">
        <v>6.4</v>
      </c>
      <c r="BI273" s="93">
        <v>7.3</v>
      </c>
      <c r="BJ273" s="98">
        <v>2.6</v>
      </c>
      <c r="BK273" s="98">
        <v>566000</v>
      </c>
      <c r="BL273" s="98">
        <v>58000</v>
      </c>
      <c r="BM273" s="98">
        <v>12000</v>
      </c>
      <c r="BN273" s="98">
        <v>1200</v>
      </c>
      <c r="BO273" s="99">
        <v>120.8</v>
      </c>
      <c r="BP273" s="98">
        <v>9.1999999999999993</v>
      </c>
      <c r="BQ273" s="99">
        <v>126</v>
      </c>
      <c r="BR273" s="98">
        <v>11</v>
      </c>
      <c r="BT273" s="95">
        <f t="shared" si="217"/>
        <v>0.28378378378378377</v>
      </c>
      <c r="BU273" s="96">
        <f t="shared" si="218"/>
        <v>4.3818181818181818</v>
      </c>
      <c r="BV273" s="96">
        <f t="shared" si="219"/>
        <v>47.166666666666664</v>
      </c>
      <c r="BW273" s="96">
        <f t="shared" si="220"/>
        <v>0.95873015873015865</v>
      </c>
      <c r="BX273" s="99">
        <f>CK273/SQRT(CJ273*CL273)</f>
        <v>54.303240295799284</v>
      </c>
      <c r="BY273" s="96">
        <f t="shared" si="221"/>
        <v>4.3818181818181818</v>
      </c>
      <c r="BZ273" s="97">
        <f t="shared" si="222"/>
        <v>2.5624667729930886E-3</v>
      </c>
      <c r="CA273" s="95">
        <f t="shared" si="223"/>
        <v>0.17236418827268377</v>
      </c>
      <c r="CB273" s="99">
        <f t="shared" si="188"/>
        <v>206.20373988314</v>
      </c>
      <c r="CC273" s="99">
        <f t="shared" si="188"/>
        <v>18.001913799321745</v>
      </c>
      <c r="CD273" s="100">
        <f t="shared" si="224"/>
        <v>743.20949106883404</v>
      </c>
      <c r="CE273" s="100">
        <f t="shared" si="239"/>
        <v>782.5730081306757</v>
      </c>
      <c r="CF273" s="100">
        <f t="shared" si="225"/>
        <v>38.155450701085016</v>
      </c>
      <c r="CG273" s="96">
        <f t="shared" si="240"/>
        <v>1.4548973011298512</v>
      </c>
      <c r="CH273" s="96">
        <f t="shared" si="214"/>
        <v>0.49334911113853269</v>
      </c>
      <c r="CJ273" s="95">
        <f>AF273/CJ$4</f>
        <v>0.13502109704641352</v>
      </c>
      <c r="CK273" s="93">
        <f t="shared" si="226"/>
        <v>39.379084967320267</v>
      </c>
      <c r="CL273" s="93">
        <f t="shared" si="227"/>
        <v>3.8947368421052633</v>
      </c>
      <c r="CM273" s="93">
        <f t="shared" si="228"/>
        <v>11.777301927194861</v>
      </c>
      <c r="CN273" s="93">
        <f t="shared" si="229"/>
        <v>61.437908496732028</v>
      </c>
      <c r="CO273" s="93">
        <f t="shared" si="230"/>
        <v>20.862068965517238</v>
      </c>
      <c r="CP273" s="93">
        <f t="shared" si="231"/>
        <v>238.44282238442824</v>
      </c>
      <c r="CQ273" s="93">
        <f t="shared" si="232"/>
        <v>352.94117647058818</v>
      </c>
      <c r="CR273" s="93">
        <f t="shared" si="233"/>
        <v>661.41732283464569</v>
      </c>
      <c r="CS273" s="93">
        <f t="shared" si="234"/>
        <v>1014.1342756183745</v>
      </c>
      <c r="CT273" s="93">
        <f t="shared" si="235"/>
        <v>1637.4622356495468</v>
      </c>
      <c r="CU273" s="93">
        <f t="shared" si="236"/>
        <v>1996.0784313725492</v>
      </c>
      <c r="CV273" s="93">
        <f t="shared" si="237"/>
        <v>2611.7647058823527</v>
      </c>
      <c r="CW273" s="93">
        <f t="shared" si="238"/>
        <v>3342.5196850393704</v>
      </c>
    </row>
    <row r="274" spans="1:101" s="98" customFormat="1">
      <c r="A274" s="3" t="s">
        <v>488</v>
      </c>
      <c r="B274" s="92" t="s">
        <v>244</v>
      </c>
      <c r="C274" s="3"/>
      <c r="D274" s="93">
        <v>11.007999999999999</v>
      </c>
      <c r="E274" s="94">
        <v>0.1855</v>
      </c>
      <c r="F274" s="94">
        <v>1.4E-3</v>
      </c>
      <c r="G274" s="95">
        <v>13.22</v>
      </c>
      <c r="H274" s="96">
        <v>0.4</v>
      </c>
      <c r="I274" s="97">
        <v>0.51819999999999999</v>
      </c>
      <c r="J274" s="95">
        <v>1.4E-2</v>
      </c>
      <c r="K274" s="96">
        <v>0.33427000000000001</v>
      </c>
      <c r="M274" s="99">
        <v>2691.4</v>
      </c>
      <c r="N274" s="98">
        <v>59</v>
      </c>
      <c r="O274" s="99">
        <v>2703.1</v>
      </c>
      <c r="P274" s="98">
        <v>8.4</v>
      </c>
      <c r="Q274" s="93">
        <v>0.42</v>
      </c>
      <c r="R274" s="97">
        <v>2.7000000000000001E-3</v>
      </c>
      <c r="T274" s="98">
        <v>510</v>
      </c>
      <c r="U274" s="98">
        <v>120</v>
      </c>
      <c r="V274" s="98">
        <v>0.5</v>
      </c>
      <c r="W274" s="98">
        <v>1.5</v>
      </c>
      <c r="X274" s="98">
        <v>0.34</v>
      </c>
      <c r="Y274" s="98">
        <v>0.28999999999999998</v>
      </c>
      <c r="Z274" s="98">
        <v>1.61</v>
      </c>
      <c r="AA274" s="98">
        <v>0.56999999999999995</v>
      </c>
      <c r="AB274" s="98">
        <v>0.76</v>
      </c>
      <c r="AC274" s="98">
        <v>0.41</v>
      </c>
      <c r="AD274" s="98">
        <v>1192</v>
      </c>
      <c r="AE274" s="98">
        <v>94</v>
      </c>
      <c r="AF274" s="95" t="s">
        <v>250</v>
      </c>
      <c r="AG274" s="97" t="s">
        <v>250</v>
      </c>
      <c r="AH274" s="96">
        <v>16.100000000000001</v>
      </c>
      <c r="AI274" s="96">
        <v>2.6</v>
      </c>
      <c r="AJ274" s="95">
        <v>0.127</v>
      </c>
      <c r="AK274" s="95">
        <v>4.4999999999999998E-2</v>
      </c>
      <c r="AL274" s="96">
        <v>2.08</v>
      </c>
      <c r="AM274" s="96">
        <v>0.91</v>
      </c>
      <c r="AN274" s="96">
        <v>4.9000000000000004</v>
      </c>
      <c r="AO274" s="96">
        <v>1.3</v>
      </c>
      <c r="AP274" s="96">
        <v>0.77</v>
      </c>
      <c r="AQ274" s="96">
        <v>0.24</v>
      </c>
      <c r="AR274" s="96">
        <v>26.3</v>
      </c>
      <c r="AS274" s="93">
        <v>4.0999999999999996</v>
      </c>
      <c r="AT274" s="96">
        <v>8.3000000000000007</v>
      </c>
      <c r="AU274" s="96">
        <v>1.3</v>
      </c>
      <c r="AV274" s="99">
        <v>104.2</v>
      </c>
      <c r="AW274" s="98">
        <v>9.4</v>
      </c>
      <c r="AX274" s="98">
        <v>37.299999999999997</v>
      </c>
      <c r="AY274" s="98">
        <v>3</v>
      </c>
      <c r="AZ274" s="98">
        <v>176</v>
      </c>
      <c r="BA274" s="98">
        <v>14</v>
      </c>
      <c r="BB274" s="98">
        <v>33.9</v>
      </c>
      <c r="BC274" s="98">
        <v>2.2000000000000002</v>
      </c>
      <c r="BD274" s="98">
        <v>304</v>
      </c>
      <c r="BE274" s="98">
        <v>28</v>
      </c>
      <c r="BF274" s="98">
        <v>59.9</v>
      </c>
      <c r="BG274" s="98">
        <v>6</v>
      </c>
      <c r="BI274" s="93">
        <v>9.6999999999999993</v>
      </c>
      <c r="BJ274" s="98">
        <v>3.7</v>
      </c>
      <c r="BK274" s="98">
        <v>526000</v>
      </c>
      <c r="BL274" s="98">
        <v>57000</v>
      </c>
      <c r="BM274" s="98">
        <v>11400</v>
      </c>
      <c r="BN274" s="98">
        <v>1100</v>
      </c>
      <c r="BO274" s="99">
        <v>54.8</v>
      </c>
      <c r="BP274" s="98">
        <v>4.3</v>
      </c>
      <c r="BQ274" s="99">
        <v>69.8</v>
      </c>
      <c r="BR274" s="98">
        <v>5.8</v>
      </c>
      <c r="BT274" s="95">
        <f t="shared" si="217"/>
        <v>0.22960526315789473</v>
      </c>
      <c r="BU274" s="96">
        <f t="shared" si="218"/>
        <v>7.7403846153846159</v>
      </c>
      <c r="BV274" s="96">
        <f t="shared" si="219"/>
        <v>46.140350877192979</v>
      </c>
      <c r="BW274" s="96">
        <f t="shared" si="220"/>
        <v>0.78510028653295127</v>
      </c>
      <c r="BX274" s="99"/>
      <c r="BY274" s="96">
        <f t="shared" si="221"/>
        <v>7.7403846153846159</v>
      </c>
      <c r="BZ274" s="97">
        <f t="shared" si="222"/>
        <v>6.4936112545172951E-3</v>
      </c>
      <c r="CA274" s="95">
        <f t="shared" si="223"/>
        <v>0.20736642756529439</v>
      </c>
      <c r="CB274" s="99">
        <f t="shared" si="188"/>
        <v>114.23032574478708</v>
      </c>
      <c r="CC274" s="99">
        <f t="shared" si="188"/>
        <v>9.491918185096921</v>
      </c>
      <c r="CD274" s="100">
        <f t="shared" si="224"/>
        <v>770.48945118121526</v>
      </c>
      <c r="CE274" s="100">
        <f t="shared" si="239"/>
        <v>812.03761921207808</v>
      </c>
      <c r="CF274" s="100">
        <f t="shared" si="225"/>
        <v>42.723626970407111</v>
      </c>
      <c r="CG274" s="96">
        <f t="shared" si="240"/>
        <v>1.0213517120786892</v>
      </c>
      <c r="CH274" s="96">
        <f t="shared" si="214"/>
        <v>0.52946425035926747</v>
      </c>
      <c r="CJ274" s="95"/>
      <c r="CK274" s="93">
        <f t="shared" si="226"/>
        <v>26.307189542483663</v>
      </c>
      <c r="CL274" s="93">
        <f t="shared" si="227"/>
        <v>1.3368421052631578</v>
      </c>
      <c r="CM274" s="93">
        <f t="shared" si="228"/>
        <v>4.4539614561027836</v>
      </c>
      <c r="CN274" s="93">
        <f t="shared" si="229"/>
        <v>32.026143790849673</v>
      </c>
      <c r="CO274" s="93">
        <f t="shared" si="230"/>
        <v>13.275862068965516</v>
      </c>
      <c r="CP274" s="93">
        <f t="shared" si="231"/>
        <v>127.98053527980537</v>
      </c>
      <c r="CQ274" s="93">
        <f t="shared" si="232"/>
        <v>221.92513368983958</v>
      </c>
      <c r="CR274" s="93">
        <f t="shared" si="233"/>
        <v>410.23622047244095</v>
      </c>
      <c r="CS274" s="93">
        <f t="shared" si="234"/>
        <v>659.01060070671372</v>
      </c>
      <c r="CT274" s="93">
        <f t="shared" si="235"/>
        <v>1063.4441087613293</v>
      </c>
      <c r="CU274" s="93">
        <f t="shared" si="236"/>
        <v>1329.4117647058824</v>
      </c>
      <c r="CV274" s="93">
        <f t="shared" si="237"/>
        <v>1788.2352941176468</v>
      </c>
      <c r="CW274" s="93">
        <f t="shared" si="238"/>
        <v>2358.267716535433</v>
      </c>
    </row>
    <row r="275" spans="1:101" s="98" customFormat="1">
      <c r="A275" s="3" t="s">
        <v>489</v>
      </c>
      <c r="B275" s="92" t="s">
        <v>244</v>
      </c>
      <c r="C275" s="3"/>
      <c r="D275" s="93">
        <v>11.124000000000001</v>
      </c>
      <c r="E275" s="94">
        <v>0.18440000000000001</v>
      </c>
      <c r="F275" s="94">
        <v>3.8999999999999998E-3</v>
      </c>
      <c r="G275" s="95">
        <v>13.28</v>
      </c>
      <c r="H275" s="96">
        <v>0.47</v>
      </c>
      <c r="I275" s="97">
        <v>0.52290000000000003</v>
      </c>
      <c r="J275" s="95">
        <v>1.4999999999999999E-2</v>
      </c>
      <c r="K275" s="96">
        <v>0.18845000000000001</v>
      </c>
      <c r="M275" s="99">
        <v>2711</v>
      </c>
      <c r="N275" s="98">
        <v>63</v>
      </c>
      <c r="O275" s="99">
        <v>2693</v>
      </c>
      <c r="P275" s="98">
        <v>24</v>
      </c>
      <c r="Q275" s="93">
        <v>-0.6</v>
      </c>
      <c r="R275" s="97">
        <v>4.8999999999999998E-3</v>
      </c>
      <c r="T275" s="98">
        <v>90</v>
      </c>
      <c r="U275" s="98">
        <v>130</v>
      </c>
      <c r="V275" s="98" t="s">
        <v>250</v>
      </c>
      <c r="W275" s="98" t="s">
        <v>250</v>
      </c>
      <c r="X275" s="98">
        <v>0.25</v>
      </c>
      <c r="Y275" s="98">
        <v>0.28999999999999998</v>
      </c>
      <c r="Z275" s="98">
        <v>1.21</v>
      </c>
      <c r="AA275" s="98">
        <v>0.56999999999999995</v>
      </c>
      <c r="AB275" s="98">
        <v>0.25</v>
      </c>
      <c r="AC275" s="98">
        <v>0.17</v>
      </c>
      <c r="AD275" s="98">
        <v>413</v>
      </c>
      <c r="AE275" s="98">
        <v>50</v>
      </c>
      <c r="AF275" s="95" t="s">
        <v>250</v>
      </c>
      <c r="AG275" s="97" t="s">
        <v>250</v>
      </c>
      <c r="AH275" s="96">
        <v>8.3000000000000007</v>
      </c>
      <c r="AI275" s="96">
        <v>1.5</v>
      </c>
      <c r="AJ275" s="95">
        <v>2.1999999999999999E-2</v>
      </c>
      <c r="AK275" s="95">
        <v>0.02</v>
      </c>
      <c r="AL275" s="96">
        <v>0.51</v>
      </c>
      <c r="AM275" s="96">
        <v>0.37</v>
      </c>
      <c r="AN275" s="96">
        <v>1.35</v>
      </c>
      <c r="AO275" s="96">
        <v>0.62</v>
      </c>
      <c r="AP275" s="96">
        <v>0.19</v>
      </c>
      <c r="AQ275" s="96">
        <v>0.12</v>
      </c>
      <c r="AR275" s="96">
        <v>6.8</v>
      </c>
      <c r="AS275" s="93">
        <v>2.2999999999999998</v>
      </c>
      <c r="AT275" s="96">
        <v>2.5499999999999998</v>
      </c>
      <c r="AU275" s="96">
        <v>0.63</v>
      </c>
      <c r="AV275" s="99">
        <v>33.5</v>
      </c>
      <c r="AW275" s="98">
        <v>5.7</v>
      </c>
      <c r="AX275" s="98">
        <v>14</v>
      </c>
      <c r="AY275" s="98">
        <v>1.9</v>
      </c>
      <c r="AZ275" s="98">
        <v>66.5</v>
      </c>
      <c r="BA275" s="98">
        <v>7.7</v>
      </c>
      <c r="BB275" s="98">
        <v>12.9</v>
      </c>
      <c r="BC275" s="98">
        <v>1.4</v>
      </c>
      <c r="BD275" s="98">
        <v>116</v>
      </c>
      <c r="BE275" s="98">
        <v>13</v>
      </c>
      <c r="BF275" s="98">
        <v>22.4</v>
      </c>
      <c r="BG275" s="98">
        <v>2.9</v>
      </c>
      <c r="BI275" s="93">
        <v>10.4</v>
      </c>
      <c r="BJ275" s="98">
        <v>3</v>
      </c>
      <c r="BK275" s="98">
        <v>530000</v>
      </c>
      <c r="BL275" s="98">
        <v>65000</v>
      </c>
      <c r="BM275" s="98">
        <v>10700</v>
      </c>
      <c r="BN275" s="98">
        <v>1400</v>
      </c>
      <c r="BO275" s="99">
        <v>15</v>
      </c>
      <c r="BP275" s="98">
        <v>1.7</v>
      </c>
      <c r="BQ275" s="99">
        <v>25.2</v>
      </c>
      <c r="BR275" s="98">
        <v>2.8</v>
      </c>
      <c r="BT275" s="95">
        <f t="shared" si="217"/>
        <v>0.21724137931034482</v>
      </c>
      <c r="BU275" s="96">
        <f t="shared" si="218"/>
        <v>16.274509803921571</v>
      </c>
      <c r="BV275" s="96">
        <f t="shared" si="219"/>
        <v>49.532710280373834</v>
      </c>
      <c r="BW275" s="96">
        <f t="shared" si="220"/>
        <v>0.59523809523809523</v>
      </c>
      <c r="BX275" s="99"/>
      <c r="BY275" s="96">
        <f t="shared" si="221"/>
        <v>16.274509803921571</v>
      </c>
      <c r="BZ275" s="97">
        <f t="shared" si="222"/>
        <v>3.9405592745572815E-2</v>
      </c>
      <c r="CA275" s="95">
        <f t="shared" si="223"/>
        <v>0.19171491233075247</v>
      </c>
      <c r="CB275" s="99">
        <f t="shared" si="188"/>
        <v>41.240747976628001</v>
      </c>
      <c r="CC275" s="99">
        <f t="shared" si="188"/>
        <v>4.5823053307364443</v>
      </c>
      <c r="CD275" s="100">
        <f t="shared" si="224"/>
        <v>777.40168839943897</v>
      </c>
      <c r="CE275" s="100">
        <f t="shared" si="239"/>
        <v>819.51314677434823</v>
      </c>
      <c r="CF275" s="100">
        <f t="shared" si="225"/>
        <v>33.65562583275144</v>
      </c>
      <c r="CG275" s="96">
        <f t="shared" si="240"/>
        <v>0.69556364252626124</v>
      </c>
      <c r="CH275" s="96">
        <f t="shared" si="214"/>
        <v>0.50666404965953293</v>
      </c>
      <c r="CJ275" s="95"/>
      <c r="CK275" s="93">
        <f t="shared" si="226"/>
        <v>13.562091503267975</v>
      </c>
      <c r="CL275" s="93">
        <f t="shared" si="227"/>
        <v>0.23157894736842102</v>
      </c>
      <c r="CM275" s="93">
        <f t="shared" si="228"/>
        <v>1.0920770877944326</v>
      </c>
      <c r="CN275" s="93">
        <f t="shared" si="229"/>
        <v>8.8235294117647065</v>
      </c>
      <c r="CO275" s="93">
        <f t="shared" si="230"/>
        <v>3.2758620689655169</v>
      </c>
      <c r="CP275" s="93">
        <f t="shared" si="231"/>
        <v>33.090024330900242</v>
      </c>
      <c r="CQ275" s="93">
        <f t="shared" si="232"/>
        <v>68.181818181818173</v>
      </c>
      <c r="CR275" s="93">
        <f t="shared" si="233"/>
        <v>131.88976377952756</v>
      </c>
      <c r="CS275" s="93">
        <f t="shared" si="234"/>
        <v>247.34982332155479</v>
      </c>
      <c r="CT275" s="93">
        <f t="shared" si="235"/>
        <v>401.81268882175226</v>
      </c>
      <c r="CU275" s="93">
        <f t="shared" si="236"/>
        <v>505.88235294117652</v>
      </c>
      <c r="CV275" s="93">
        <f t="shared" si="237"/>
        <v>682.35294117647049</v>
      </c>
      <c r="CW275" s="93">
        <f t="shared" si="238"/>
        <v>881.88976377952758</v>
      </c>
    </row>
    <row r="276" spans="1:101" s="98" customFormat="1">
      <c r="A276" s="3" t="s">
        <v>490</v>
      </c>
      <c r="B276" s="92" t="s">
        <v>244</v>
      </c>
      <c r="C276" s="3"/>
      <c r="D276" s="93">
        <v>11.079000000000001</v>
      </c>
      <c r="E276" s="94">
        <v>0.18540000000000001</v>
      </c>
      <c r="F276" s="94">
        <v>1.2999999999999999E-3</v>
      </c>
      <c r="G276" s="95">
        <v>13.04</v>
      </c>
      <c r="H276" s="96">
        <v>0.39</v>
      </c>
      <c r="I276" s="97">
        <v>0.51160000000000005</v>
      </c>
      <c r="J276" s="95">
        <v>1.4E-2</v>
      </c>
      <c r="K276" s="96">
        <v>0.57759000000000005</v>
      </c>
      <c r="M276" s="99">
        <v>2664</v>
      </c>
      <c r="N276" s="98">
        <v>60</v>
      </c>
      <c r="O276" s="99">
        <v>2703</v>
      </c>
      <c r="P276" s="98">
        <v>6.8</v>
      </c>
      <c r="Q276" s="93">
        <v>1.45</v>
      </c>
      <c r="R276" s="97">
        <v>5.4000000000000003E-3</v>
      </c>
      <c r="T276" s="98">
        <v>420</v>
      </c>
      <c r="U276" s="98">
        <v>130</v>
      </c>
      <c r="V276" s="98">
        <v>0.4</v>
      </c>
      <c r="W276" s="98">
        <v>1.4</v>
      </c>
      <c r="X276" s="98">
        <v>0.36</v>
      </c>
      <c r="Y276" s="98">
        <v>0.24</v>
      </c>
      <c r="Z276" s="98">
        <v>2.21</v>
      </c>
      <c r="AA276" s="98">
        <v>0.92</v>
      </c>
      <c r="AB276" s="98">
        <v>0.5</v>
      </c>
      <c r="AC276" s="98">
        <v>0.24</v>
      </c>
      <c r="AD276" s="98">
        <v>1620</v>
      </c>
      <c r="AE276" s="98">
        <v>290</v>
      </c>
      <c r="AF276" s="95">
        <v>2.8000000000000001E-2</v>
      </c>
      <c r="AG276" s="97">
        <v>0.02</v>
      </c>
      <c r="AH276" s="96">
        <v>13.5</v>
      </c>
      <c r="AI276" s="96">
        <v>2.1</v>
      </c>
      <c r="AJ276" s="95">
        <v>0.28999999999999998</v>
      </c>
      <c r="AK276" s="95">
        <v>0.1</v>
      </c>
      <c r="AL276" s="96">
        <v>4.8</v>
      </c>
      <c r="AM276" s="96">
        <v>1.2</v>
      </c>
      <c r="AN276" s="96">
        <v>8.6999999999999993</v>
      </c>
      <c r="AO276" s="96">
        <v>2.2000000000000002</v>
      </c>
      <c r="AP276" s="96">
        <v>1.79</v>
      </c>
      <c r="AQ276" s="96">
        <v>0.43</v>
      </c>
      <c r="AR276" s="96">
        <v>45.4</v>
      </c>
      <c r="AS276" s="93">
        <v>7.9</v>
      </c>
      <c r="AT276" s="96">
        <v>13.6</v>
      </c>
      <c r="AU276" s="96">
        <v>1.7</v>
      </c>
      <c r="AV276" s="99">
        <v>162</v>
      </c>
      <c r="AW276" s="98">
        <v>19</v>
      </c>
      <c r="AX276" s="98">
        <v>52</v>
      </c>
      <c r="AY276" s="98">
        <v>6.7</v>
      </c>
      <c r="AZ276" s="98">
        <v>239</v>
      </c>
      <c r="BA276" s="98">
        <v>28</v>
      </c>
      <c r="BB276" s="98">
        <v>45.7</v>
      </c>
      <c r="BC276" s="98">
        <v>6.2</v>
      </c>
      <c r="BD276" s="98">
        <v>387</v>
      </c>
      <c r="BE276" s="98">
        <v>49</v>
      </c>
      <c r="BF276" s="98">
        <v>71.099999999999994</v>
      </c>
      <c r="BG276" s="98">
        <v>9.3000000000000007</v>
      </c>
      <c r="BI276" s="93">
        <v>6.8</v>
      </c>
      <c r="BJ276" s="98">
        <v>2.9</v>
      </c>
      <c r="BK276" s="98">
        <v>524000</v>
      </c>
      <c r="BL276" s="98">
        <v>54000</v>
      </c>
      <c r="BM276" s="98">
        <v>9380</v>
      </c>
      <c r="BN276" s="98">
        <v>960</v>
      </c>
      <c r="BO276" s="99">
        <v>56.5</v>
      </c>
      <c r="BP276" s="98">
        <v>8</v>
      </c>
      <c r="BQ276" s="99">
        <v>66.400000000000006</v>
      </c>
      <c r="BR276" s="98">
        <v>8.8000000000000007</v>
      </c>
      <c r="BT276" s="95">
        <f t="shared" si="217"/>
        <v>0.17157622739018089</v>
      </c>
      <c r="BU276" s="96">
        <f t="shared" si="218"/>
        <v>2.8125</v>
      </c>
      <c r="BV276" s="96">
        <f t="shared" si="219"/>
        <v>55.863539445628994</v>
      </c>
      <c r="BW276" s="96">
        <f t="shared" si="220"/>
        <v>0.85090361445783125</v>
      </c>
      <c r="BX276" s="99">
        <f t="shared" ref="BX276:BX284" si="241">CK276/SQRT(CJ276*CL276)</f>
        <v>36.731638997947641</v>
      </c>
      <c r="BY276" s="96">
        <f t="shared" si="221"/>
        <v>2.8125</v>
      </c>
      <c r="BZ276" s="97">
        <f t="shared" si="222"/>
        <v>1.736111111111111E-3</v>
      </c>
      <c r="CA276" s="95">
        <f t="shared" si="223"/>
        <v>0.27535255660642211</v>
      </c>
      <c r="CB276" s="99">
        <f t="shared" si="188"/>
        <v>108.66609784317855</v>
      </c>
      <c r="CC276" s="99">
        <f t="shared" si="188"/>
        <v>14.401531039457398</v>
      </c>
      <c r="CD276" s="100">
        <f t="shared" si="224"/>
        <v>736.62114500649989</v>
      </c>
      <c r="CE276" s="100">
        <f t="shared" si="239"/>
        <v>775.46623155621057</v>
      </c>
      <c r="CF276" s="100">
        <f t="shared" si="225"/>
        <v>44.496343827509641</v>
      </c>
      <c r="CG276" s="96">
        <f t="shared" si="240"/>
        <v>1.0671687818129119</v>
      </c>
      <c r="CH276" s="96">
        <f t="shared" si="214"/>
        <v>0.59401988339786382</v>
      </c>
      <c r="CJ276" s="95">
        <f t="shared" ref="CJ276:CJ284" si="242">AF276/CJ$4</f>
        <v>0.11814345991561183</v>
      </c>
      <c r="CK276" s="93">
        <f t="shared" si="226"/>
        <v>22.058823529411764</v>
      </c>
      <c r="CL276" s="93">
        <f t="shared" si="227"/>
        <v>3.0526315789473681</v>
      </c>
      <c r="CM276" s="93">
        <f t="shared" si="228"/>
        <v>10.278372591006423</v>
      </c>
      <c r="CN276" s="93">
        <f t="shared" si="229"/>
        <v>56.862745098039213</v>
      </c>
      <c r="CO276" s="93">
        <f t="shared" si="230"/>
        <v>30.862068965517242</v>
      </c>
      <c r="CP276" s="93">
        <f t="shared" si="231"/>
        <v>220.92457420924575</v>
      </c>
      <c r="CQ276" s="93">
        <f t="shared" si="232"/>
        <v>363.63636363636363</v>
      </c>
      <c r="CR276" s="93">
        <f t="shared" si="233"/>
        <v>637.79527559055123</v>
      </c>
      <c r="CS276" s="93">
        <f t="shared" si="234"/>
        <v>918.72791519434634</v>
      </c>
      <c r="CT276" s="93">
        <f t="shared" si="235"/>
        <v>1444.108761329305</v>
      </c>
      <c r="CU276" s="93">
        <f t="shared" si="236"/>
        <v>1792.1568627450984</v>
      </c>
      <c r="CV276" s="93">
        <f t="shared" si="237"/>
        <v>2276.4705882352941</v>
      </c>
      <c r="CW276" s="93">
        <f t="shared" si="238"/>
        <v>2799.2125984251966</v>
      </c>
    </row>
    <row r="277" spans="1:101" s="98" customFormat="1">
      <c r="A277" s="3" t="s">
        <v>491</v>
      </c>
      <c r="B277" s="92" t="s">
        <v>244</v>
      </c>
      <c r="C277" s="3" t="s">
        <v>285</v>
      </c>
      <c r="D277" s="93">
        <v>11.023</v>
      </c>
      <c r="E277" s="94">
        <v>0.18565000000000001</v>
      </c>
      <c r="F277" s="94">
        <v>9.3999999999999997E-4</v>
      </c>
      <c r="G277" s="95">
        <v>14.02</v>
      </c>
      <c r="H277" s="96">
        <v>0.48</v>
      </c>
      <c r="I277" s="97">
        <v>0.5494</v>
      </c>
      <c r="J277" s="95">
        <v>1.7000000000000001E-2</v>
      </c>
      <c r="K277" s="96">
        <v>0.96887000000000001</v>
      </c>
      <c r="M277" s="99">
        <v>2821</v>
      </c>
      <c r="N277" s="98">
        <v>73</v>
      </c>
      <c r="O277" s="99">
        <v>2704.5</v>
      </c>
      <c r="P277" s="98">
        <v>3.7</v>
      </c>
      <c r="Q277" s="93">
        <v>-4.3</v>
      </c>
      <c r="R277" s="97">
        <v>1.24E-3</v>
      </c>
      <c r="T277" s="98">
        <v>580</v>
      </c>
      <c r="U277" s="98">
        <v>150</v>
      </c>
      <c r="V277" s="98">
        <v>0.5</v>
      </c>
      <c r="W277" s="98">
        <v>1.5</v>
      </c>
      <c r="X277" s="98">
        <v>0.4</v>
      </c>
      <c r="Y277" s="98">
        <v>0.27</v>
      </c>
      <c r="Z277" s="98">
        <v>1.88</v>
      </c>
      <c r="AA277" s="98">
        <v>0.56999999999999995</v>
      </c>
      <c r="AB277" s="98">
        <v>0.56000000000000005</v>
      </c>
      <c r="AC277" s="98">
        <v>0.32</v>
      </c>
      <c r="AD277" s="98">
        <v>1570</v>
      </c>
      <c r="AE277" s="98">
        <v>160</v>
      </c>
      <c r="AF277" s="95">
        <v>0.2</v>
      </c>
      <c r="AG277" s="97">
        <v>0.05</v>
      </c>
      <c r="AH277" s="96">
        <v>17.399999999999999</v>
      </c>
      <c r="AI277" s="96">
        <v>1.8</v>
      </c>
      <c r="AJ277" s="95">
        <v>0.53</v>
      </c>
      <c r="AK277" s="95">
        <v>0.11</v>
      </c>
      <c r="AL277" s="96">
        <v>5.8</v>
      </c>
      <c r="AM277" s="96">
        <v>1</v>
      </c>
      <c r="AN277" s="96">
        <v>10.4</v>
      </c>
      <c r="AO277" s="96">
        <v>1.7</v>
      </c>
      <c r="AP277" s="96">
        <v>1.97</v>
      </c>
      <c r="AQ277" s="96">
        <v>0.48</v>
      </c>
      <c r="AR277" s="96">
        <v>46</v>
      </c>
      <c r="AS277" s="93">
        <v>7.6</v>
      </c>
      <c r="AT277" s="96">
        <v>13.5</v>
      </c>
      <c r="AU277" s="96">
        <v>1.6</v>
      </c>
      <c r="AV277" s="99">
        <v>165</v>
      </c>
      <c r="AW277" s="98">
        <v>12</v>
      </c>
      <c r="AX277" s="98">
        <v>49</v>
      </c>
      <c r="AY277" s="98">
        <v>4.5</v>
      </c>
      <c r="AZ277" s="98">
        <v>236</v>
      </c>
      <c r="BA277" s="98">
        <v>18</v>
      </c>
      <c r="BB277" s="98">
        <v>44.7</v>
      </c>
      <c r="BC277" s="98">
        <v>3.7</v>
      </c>
      <c r="BD277" s="98">
        <v>350</v>
      </c>
      <c r="BE277" s="98">
        <v>29</v>
      </c>
      <c r="BF277" s="98">
        <v>67.8</v>
      </c>
      <c r="BG277" s="98">
        <v>4.5999999999999996</v>
      </c>
      <c r="BI277" s="93">
        <v>9.8000000000000007</v>
      </c>
      <c r="BJ277" s="98">
        <v>3.2</v>
      </c>
      <c r="BK277" s="98">
        <v>476000</v>
      </c>
      <c r="BL277" s="98">
        <v>34000</v>
      </c>
      <c r="BM277" s="98">
        <v>8750</v>
      </c>
      <c r="BN277" s="98">
        <v>640</v>
      </c>
      <c r="BO277" s="99">
        <v>68</v>
      </c>
      <c r="BP277" s="98">
        <v>3.8</v>
      </c>
      <c r="BQ277" s="99">
        <v>92.4</v>
      </c>
      <c r="BR277" s="98">
        <v>4.9000000000000004</v>
      </c>
      <c r="BT277" s="95">
        <f t="shared" si="217"/>
        <v>0.26400000000000001</v>
      </c>
      <c r="BU277" s="96">
        <f t="shared" si="218"/>
        <v>3</v>
      </c>
      <c r="BV277" s="96">
        <f t="shared" si="219"/>
        <v>54.4</v>
      </c>
      <c r="BW277" s="96">
        <f t="shared" si="220"/>
        <v>0.73593073593073588</v>
      </c>
      <c r="BX277" s="99">
        <f t="shared" si="241"/>
        <v>13.103305577166212</v>
      </c>
      <c r="BY277" s="96">
        <f t="shared" si="221"/>
        <v>3</v>
      </c>
      <c r="BZ277" s="97">
        <f t="shared" si="222"/>
        <v>1.910828025477707E-3</v>
      </c>
      <c r="CA277" s="95">
        <f t="shared" si="223"/>
        <v>0.27535582972325168</v>
      </c>
      <c r="CB277" s="99">
        <f t="shared" si="188"/>
        <v>151.21607591430268</v>
      </c>
      <c r="CC277" s="99">
        <f t="shared" si="188"/>
        <v>8.0190343287887789</v>
      </c>
      <c r="CD277" s="100">
        <f t="shared" si="224"/>
        <v>771.5011798399297</v>
      </c>
      <c r="CE277" s="100">
        <f t="shared" si="239"/>
        <v>813.13154912645393</v>
      </c>
      <c r="CF277" s="100">
        <f t="shared" si="225"/>
        <v>37.158997628114719</v>
      </c>
      <c r="CG277" s="96">
        <f t="shared" si="240"/>
        <v>0.90399754176290625</v>
      </c>
      <c r="CH277" s="96">
        <f t="shared" si="214"/>
        <v>0.4006486487133189</v>
      </c>
      <c r="CJ277" s="95">
        <f t="shared" si="242"/>
        <v>0.84388185654008452</v>
      </c>
      <c r="CK277" s="93">
        <f t="shared" si="226"/>
        <v>28.431372549019606</v>
      </c>
      <c r="CL277" s="93">
        <f t="shared" si="227"/>
        <v>5.5789473684210531</v>
      </c>
      <c r="CM277" s="93">
        <f t="shared" si="228"/>
        <v>12.419700214132762</v>
      </c>
      <c r="CN277" s="93">
        <f t="shared" si="229"/>
        <v>67.973856209150327</v>
      </c>
      <c r="CO277" s="93">
        <f t="shared" si="230"/>
        <v>33.96551724137931</v>
      </c>
      <c r="CP277" s="93">
        <f t="shared" si="231"/>
        <v>223.84428223844284</v>
      </c>
      <c r="CQ277" s="93">
        <f t="shared" si="232"/>
        <v>360.96256684491976</v>
      </c>
      <c r="CR277" s="93">
        <f t="shared" si="233"/>
        <v>649.6062992125984</v>
      </c>
      <c r="CS277" s="93">
        <f t="shared" si="234"/>
        <v>865.72438162544177</v>
      </c>
      <c r="CT277" s="93">
        <f t="shared" si="235"/>
        <v>1425.9818731117823</v>
      </c>
      <c r="CU277" s="93">
        <f t="shared" si="236"/>
        <v>1752.9411764705885</v>
      </c>
      <c r="CV277" s="93">
        <f t="shared" si="237"/>
        <v>2058.8235294117644</v>
      </c>
      <c r="CW277" s="93">
        <f t="shared" si="238"/>
        <v>2669.2913385826773</v>
      </c>
    </row>
    <row r="278" spans="1:101" s="98" customFormat="1">
      <c r="A278" s="3" t="s">
        <v>492</v>
      </c>
      <c r="B278" s="92" t="s">
        <v>244</v>
      </c>
      <c r="C278" s="3"/>
      <c r="D278" s="93">
        <v>11.076000000000001</v>
      </c>
      <c r="E278" s="94">
        <v>0.18364</v>
      </c>
      <c r="F278" s="94">
        <v>7.9000000000000001E-4</v>
      </c>
      <c r="G278" s="95">
        <v>13.048999999999999</v>
      </c>
      <c r="H278" s="96">
        <v>0.38</v>
      </c>
      <c r="I278" s="97">
        <v>0.51680000000000004</v>
      </c>
      <c r="J278" s="95">
        <v>1.4E-2</v>
      </c>
      <c r="K278" s="96">
        <v>0.55025999999999997</v>
      </c>
      <c r="M278" s="99">
        <v>2685.6</v>
      </c>
      <c r="N278" s="98">
        <v>59</v>
      </c>
      <c r="O278" s="99">
        <v>2685.7</v>
      </c>
      <c r="P278" s="98">
        <v>4</v>
      </c>
      <c r="Q278" s="93">
        <v>0.05</v>
      </c>
      <c r="R278" s="97">
        <v>5.5999999999999995E-4</v>
      </c>
      <c r="T278" s="98">
        <v>330</v>
      </c>
      <c r="U278" s="98">
        <v>150</v>
      </c>
      <c r="V278" s="98">
        <v>2.1</v>
      </c>
      <c r="W278" s="98">
        <v>1.4</v>
      </c>
      <c r="X278" s="98">
        <v>0.17</v>
      </c>
      <c r="Y278" s="98">
        <v>0.17</v>
      </c>
      <c r="Z278" s="98">
        <v>3.8</v>
      </c>
      <c r="AA278" s="98">
        <v>1.3</v>
      </c>
      <c r="AB278" s="98">
        <v>1.75</v>
      </c>
      <c r="AC278" s="98">
        <v>0.48</v>
      </c>
      <c r="AD278" s="98">
        <v>1570</v>
      </c>
      <c r="AE278" s="98">
        <v>190</v>
      </c>
      <c r="AF278" s="95">
        <v>1.5E-3</v>
      </c>
      <c r="AG278" s="97">
        <v>5.5999999999999999E-3</v>
      </c>
      <c r="AH278" s="96">
        <v>25</v>
      </c>
      <c r="AI278" s="96">
        <v>2.9</v>
      </c>
      <c r="AJ278" s="95">
        <v>0.15</v>
      </c>
      <c r="AK278" s="95">
        <v>4.7E-2</v>
      </c>
      <c r="AL278" s="96">
        <v>3.3</v>
      </c>
      <c r="AM278" s="96">
        <v>0.95</v>
      </c>
      <c r="AN278" s="96">
        <v>5.4</v>
      </c>
      <c r="AO278" s="96">
        <v>1.3</v>
      </c>
      <c r="AP278" s="96">
        <v>0.93</v>
      </c>
      <c r="AQ278" s="96">
        <v>0.32</v>
      </c>
      <c r="AR278" s="96">
        <v>33.9</v>
      </c>
      <c r="AS278" s="93">
        <v>6.1</v>
      </c>
      <c r="AT278" s="96">
        <v>11.4</v>
      </c>
      <c r="AU278" s="96">
        <v>1.8</v>
      </c>
      <c r="AV278" s="99">
        <v>141</v>
      </c>
      <c r="AW278" s="98">
        <v>18</v>
      </c>
      <c r="AX278" s="98">
        <v>51.8</v>
      </c>
      <c r="AY278" s="98">
        <v>5.9</v>
      </c>
      <c r="AZ278" s="98">
        <v>243</v>
      </c>
      <c r="BA278" s="98">
        <v>28</v>
      </c>
      <c r="BB278" s="98">
        <v>52.3</v>
      </c>
      <c r="BC278" s="98">
        <v>4.7</v>
      </c>
      <c r="BD278" s="98">
        <v>452</v>
      </c>
      <c r="BE278" s="98">
        <v>41</v>
      </c>
      <c r="BF278" s="98">
        <v>91</v>
      </c>
      <c r="BG278" s="98">
        <v>8</v>
      </c>
      <c r="BI278" s="93">
        <v>6.1</v>
      </c>
      <c r="BJ278" s="98">
        <v>3.4</v>
      </c>
      <c r="BK278" s="98">
        <v>535000</v>
      </c>
      <c r="BL278" s="98">
        <v>61000</v>
      </c>
      <c r="BM278" s="98">
        <v>11600</v>
      </c>
      <c r="BN278" s="98">
        <v>1100</v>
      </c>
      <c r="BO278" s="99">
        <v>104.5</v>
      </c>
      <c r="BP278" s="98">
        <v>9.5</v>
      </c>
      <c r="BQ278" s="99">
        <v>140</v>
      </c>
      <c r="BR278" s="98">
        <v>12</v>
      </c>
      <c r="BT278" s="95">
        <f t="shared" si="217"/>
        <v>0.30973451327433627</v>
      </c>
      <c r="BU278" s="96">
        <f t="shared" si="218"/>
        <v>7.5757575757575761</v>
      </c>
      <c r="BV278" s="96">
        <f t="shared" si="219"/>
        <v>46.120689655172413</v>
      </c>
      <c r="BW278" s="96">
        <f t="shared" si="220"/>
        <v>0.74642857142857144</v>
      </c>
      <c r="BX278" s="99">
        <f t="shared" si="241"/>
        <v>408.63287491678454</v>
      </c>
      <c r="BY278" s="96">
        <f t="shared" si="221"/>
        <v>7.5757575757575761</v>
      </c>
      <c r="BZ278" s="97">
        <f t="shared" si="222"/>
        <v>4.8253232966608767E-3</v>
      </c>
      <c r="CA278" s="95">
        <f t="shared" si="223"/>
        <v>0.21014054510939345</v>
      </c>
      <c r="CB278" s="99">
        <f t="shared" si="188"/>
        <v>229.11526653682222</v>
      </c>
      <c r="CC278" s="99">
        <f t="shared" si="188"/>
        <v>19.638451417441907</v>
      </c>
      <c r="CD278" s="100">
        <f t="shared" si="224"/>
        <v>726.69764230371038</v>
      </c>
      <c r="CE278" s="100">
        <f t="shared" si="239"/>
        <v>764.76858917757352</v>
      </c>
      <c r="CF278" s="100">
        <f t="shared" si="225"/>
        <v>56.274637028908074</v>
      </c>
      <c r="CG278" s="96">
        <f t="shared" si="240"/>
        <v>1.5827398272828388</v>
      </c>
      <c r="CH278" s="96">
        <f t="shared" si="214"/>
        <v>0.64241071012827367</v>
      </c>
      <c r="CJ278" s="95">
        <f t="shared" si="242"/>
        <v>6.3291139240506337E-3</v>
      </c>
      <c r="CK278" s="93">
        <f t="shared" si="226"/>
        <v>40.849673202614383</v>
      </c>
      <c r="CL278" s="93">
        <f t="shared" si="227"/>
        <v>1.5789473684210527</v>
      </c>
      <c r="CM278" s="93">
        <f t="shared" si="228"/>
        <v>7.0663811563169157</v>
      </c>
      <c r="CN278" s="93">
        <f t="shared" si="229"/>
        <v>35.294117647058826</v>
      </c>
      <c r="CO278" s="93">
        <f t="shared" si="230"/>
        <v>16.03448275862069</v>
      </c>
      <c r="CP278" s="93">
        <f t="shared" si="231"/>
        <v>164.96350364963504</v>
      </c>
      <c r="CQ278" s="93">
        <f t="shared" si="232"/>
        <v>304.81283422459893</v>
      </c>
      <c r="CR278" s="93">
        <f t="shared" si="233"/>
        <v>555.11811023622045</v>
      </c>
      <c r="CS278" s="93">
        <f t="shared" si="234"/>
        <v>915.19434628975262</v>
      </c>
      <c r="CT278" s="93">
        <f t="shared" si="235"/>
        <v>1468.2779456193352</v>
      </c>
      <c r="CU278" s="93">
        <f t="shared" si="236"/>
        <v>2050.9803921568628</v>
      </c>
      <c r="CV278" s="93">
        <f t="shared" si="237"/>
        <v>2658.8235294117644</v>
      </c>
      <c r="CW278" s="93">
        <f t="shared" si="238"/>
        <v>3582.677165354331</v>
      </c>
    </row>
    <row r="279" spans="1:101" s="98" customFormat="1">
      <c r="A279" s="3" t="s">
        <v>493</v>
      </c>
      <c r="B279" s="92" t="s">
        <v>244</v>
      </c>
      <c r="C279" s="3"/>
      <c r="D279" s="93">
        <v>11.035</v>
      </c>
      <c r="E279" s="94">
        <v>0.1908</v>
      </c>
      <c r="F279" s="94">
        <v>1.5E-3</v>
      </c>
      <c r="G279" s="95">
        <v>13.44</v>
      </c>
      <c r="H279" s="96">
        <v>0.4</v>
      </c>
      <c r="I279" s="97">
        <v>0.51229999999999998</v>
      </c>
      <c r="J279" s="95">
        <v>1.4E-2</v>
      </c>
      <c r="K279" s="96">
        <v>0.35915999999999998</v>
      </c>
      <c r="M279" s="99">
        <v>2666.6</v>
      </c>
      <c r="N279" s="98">
        <v>59</v>
      </c>
      <c r="O279" s="99">
        <v>2748.3</v>
      </c>
      <c r="P279" s="98">
        <v>9</v>
      </c>
      <c r="Q279" s="93">
        <v>2.97</v>
      </c>
      <c r="R279" s="97">
        <v>0.01</v>
      </c>
      <c r="T279" s="98">
        <v>1680</v>
      </c>
      <c r="U279" s="98">
        <v>280</v>
      </c>
      <c r="V279" s="98">
        <v>0.5</v>
      </c>
      <c r="W279" s="98">
        <v>1.9</v>
      </c>
      <c r="X279" s="98">
        <v>0.62</v>
      </c>
      <c r="Y279" s="98">
        <v>0.46</v>
      </c>
      <c r="Z279" s="98">
        <v>3.2</v>
      </c>
      <c r="AA279" s="98">
        <v>0.98</v>
      </c>
      <c r="AB279" s="98">
        <v>1.1200000000000001</v>
      </c>
      <c r="AC279" s="98">
        <v>0.36</v>
      </c>
      <c r="AD279" s="98">
        <v>1020</v>
      </c>
      <c r="AE279" s="98">
        <v>120</v>
      </c>
      <c r="AF279" s="95">
        <v>2.3E-2</v>
      </c>
      <c r="AG279" s="97">
        <v>1.7000000000000001E-2</v>
      </c>
      <c r="AH279" s="96">
        <v>17.7</v>
      </c>
      <c r="AI279" s="96">
        <v>2.4</v>
      </c>
      <c r="AJ279" s="95">
        <v>0.129</v>
      </c>
      <c r="AK279" s="95">
        <v>0.06</v>
      </c>
      <c r="AL279" s="96">
        <v>0.67</v>
      </c>
      <c r="AM279" s="96">
        <v>0.43</v>
      </c>
      <c r="AN279" s="96">
        <v>3.8</v>
      </c>
      <c r="AO279" s="96">
        <v>1.4</v>
      </c>
      <c r="AP279" s="96">
        <v>0.68</v>
      </c>
      <c r="AQ279" s="96">
        <v>0.28999999999999998</v>
      </c>
      <c r="AR279" s="96">
        <v>16.5</v>
      </c>
      <c r="AS279" s="93">
        <v>3.1</v>
      </c>
      <c r="AT279" s="96">
        <v>6.8</v>
      </c>
      <c r="AU279" s="96">
        <v>1.2</v>
      </c>
      <c r="AV279" s="99">
        <v>83</v>
      </c>
      <c r="AW279" s="98">
        <v>11</v>
      </c>
      <c r="AX279" s="98">
        <v>32.1</v>
      </c>
      <c r="AY279" s="98">
        <v>4.5999999999999996</v>
      </c>
      <c r="AZ279" s="98">
        <v>160</v>
      </c>
      <c r="BA279" s="98">
        <v>16</v>
      </c>
      <c r="BB279" s="98">
        <v>33.299999999999997</v>
      </c>
      <c r="BC279" s="98">
        <v>4.2</v>
      </c>
      <c r="BD279" s="98">
        <v>319</v>
      </c>
      <c r="BE279" s="98">
        <v>36</v>
      </c>
      <c r="BF279" s="98">
        <v>64.5</v>
      </c>
      <c r="BG279" s="98">
        <v>7.7</v>
      </c>
      <c r="BI279" s="93">
        <v>13.1</v>
      </c>
      <c r="BJ279" s="98">
        <v>5.8</v>
      </c>
      <c r="BK279" s="98">
        <v>588000</v>
      </c>
      <c r="BL279" s="98">
        <v>66000</v>
      </c>
      <c r="BM279" s="98">
        <v>12800</v>
      </c>
      <c r="BN279" s="98">
        <v>1600</v>
      </c>
      <c r="BO279" s="99">
        <v>71.3</v>
      </c>
      <c r="BP279" s="98">
        <v>8.4</v>
      </c>
      <c r="BQ279" s="99">
        <v>118</v>
      </c>
      <c r="BR279" s="98">
        <v>13</v>
      </c>
      <c r="BT279" s="95">
        <f t="shared" si="217"/>
        <v>0.36990595611285265</v>
      </c>
      <c r="BU279" s="96">
        <f t="shared" si="218"/>
        <v>26.417910447761191</v>
      </c>
      <c r="BV279" s="96">
        <f t="shared" si="219"/>
        <v>45.9375</v>
      </c>
      <c r="BW279" s="96">
        <f t="shared" si="220"/>
        <v>0.60423728813559319</v>
      </c>
      <c r="BX279" s="99">
        <f t="shared" si="241"/>
        <v>79.670775900327456</v>
      </c>
      <c r="BY279" s="96">
        <f t="shared" si="221"/>
        <v>26.417910447761191</v>
      </c>
      <c r="BZ279" s="97">
        <f t="shared" si="222"/>
        <v>2.5899912203687443E-2</v>
      </c>
      <c r="CA279" s="95">
        <f t="shared" si="223"/>
        <v>0.26254199271068274</v>
      </c>
      <c r="CB279" s="99">
        <f t="shared" si="188"/>
        <v>193.11143893817874</v>
      </c>
      <c r="CC279" s="99">
        <f t="shared" si="188"/>
        <v>21.274989035562065</v>
      </c>
      <c r="CD279" s="100">
        <f t="shared" si="224"/>
        <v>800.96626741363013</v>
      </c>
      <c r="CE279" s="100">
        <f t="shared" si="239"/>
        <v>845.0277072529999</v>
      </c>
      <c r="CF279" s="100">
        <f t="shared" si="225"/>
        <v>51.867508214115723</v>
      </c>
      <c r="CG279" s="96">
        <f t="shared" si="240"/>
        <v>0.47027013808061224</v>
      </c>
      <c r="CH279" s="96">
        <f t="shared" si="214"/>
        <v>0.55222279537934515</v>
      </c>
      <c r="CJ279" s="95">
        <f t="shared" si="242"/>
        <v>9.7046413502109713E-2</v>
      </c>
      <c r="CK279" s="93">
        <f t="shared" si="226"/>
        <v>28.921568627450981</v>
      </c>
      <c r="CL279" s="93">
        <f t="shared" si="227"/>
        <v>1.3578947368421053</v>
      </c>
      <c r="CM279" s="93">
        <f t="shared" si="228"/>
        <v>1.4346895074946466</v>
      </c>
      <c r="CN279" s="93">
        <f t="shared" si="229"/>
        <v>24.836601307189543</v>
      </c>
      <c r="CO279" s="93">
        <f t="shared" si="230"/>
        <v>11.724137931034482</v>
      </c>
      <c r="CP279" s="93">
        <f t="shared" si="231"/>
        <v>80.291970802919707</v>
      </c>
      <c r="CQ279" s="93">
        <f t="shared" si="232"/>
        <v>181.81818181818181</v>
      </c>
      <c r="CR279" s="93">
        <f t="shared" si="233"/>
        <v>326.77165354330708</v>
      </c>
      <c r="CS279" s="93">
        <f t="shared" si="234"/>
        <v>567.13780918727923</v>
      </c>
      <c r="CT279" s="93">
        <f t="shared" si="235"/>
        <v>966.76737160120842</v>
      </c>
      <c r="CU279" s="93">
        <f t="shared" si="236"/>
        <v>1305.8823529411764</v>
      </c>
      <c r="CV279" s="93">
        <f t="shared" si="237"/>
        <v>1876.4705882352939</v>
      </c>
      <c r="CW279" s="93">
        <f t="shared" si="238"/>
        <v>2539.3700787401576</v>
      </c>
    </row>
    <row r="280" spans="1:101" s="98" customFormat="1">
      <c r="A280" s="3" t="s">
        <v>494</v>
      </c>
      <c r="B280" s="92" t="s">
        <v>244</v>
      </c>
      <c r="C280" s="3"/>
      <c r="D280" s="93">
        <v>11.015000000000001</v>
      </c>
      <c r="E280" s="94">
        <v>0.18540000000000001</v>
      </c>
      <c r="F280" s="94">
        <v>2.7000000000000001E-3</v>
      </c>
      <c r="G280" s="95">
        <v>13.78</v>
      </c>
      <c r="H280" s="96">
        <v>0.51</v>
      </c>
      <c r="I280" s="97">
        <v>0.54100000000000004</v>
      </c>
      <c r="J280" s="95">
        <v>1.7999999999999999E-2</v>
      </c>
      <c r="K280" s="96">
        <v>0.79437000000000002</v>
      </c>
      <c r="M280" s="99">
        <v>2786</v>
      </c>
      <c r="N280" s="98">
        <v>76</v>
      </c>
      <c r="O280" s="99">
        <v>2702</v>
      </c>
      <c r="P280" s="98">
        <v>15</v>
      </c>
      <c r="Q280" s="93">
        <v>-3.2</v>
      </c>
      <c r="R280" s="97">
        <v>2.5000000000000001E-3</v>
      </c>
      <c r="T280" s="98">
        <v>140</v>
      </c>
      <c r="U280" s="98">
        <v>120</v>
      </c>
      <c r="V280" s="98">
        <v>0.4</v>
      </c>
      <c r="W280" s="98">
        <v>1.3</v>
      </c>
      <c r="X280" s="98">
        <v>0.34</v>
      </c>
      <c r="Y280" s="98">
        <v>0.28999999999999998</v>
      </c>
      <c r="Z280" s="98">
        <v>1.33</v>
      </c>
      <c r="AA280" s="98">
        <v>0.75</v>
      </c>
      <c r="AB280" s="98">
        <v>0.46</v>
      </c>
      <c r="AC280" s="98">
        <v>0.25</v>
      </c>
      <c r="AD280" s="98">
        <v>820</v>
      </c>
      <c r="AE280" s="98">
        <v>140</v>
      </c>
      <c r="AF280" s="95">
        <v>1.0999999999999999E-2</v>
      </c>
      <c r="AG280" s="97">
        <v>1.2999999999999999E-2</v>
      </c>
      <c r="AH280" s="96">
        <v>14.3</v>
      </c>
      <c r="AI280" s="96">
        <v>2.2000000000000002</v>
      </c>
      <c r="AJ280" s="95">
        <v>6.9000000000000006E-2</v>
      </c>
      <c r="AK280" s="95">
        <v>4.2999999999999997E-2</v>
      </c>
      <c r="AL280" s="96">
        <v>0.51</v>
      </c>
      <c r="AM280" s="96">
        <v>0.38</v>
      </c>
      <c r="AN280" s="96">
        <v>4</v>
      </c>
      <c r="AO280" s="96">
        <v>1.2</v>
      </c>
      <c r="AP280" s="96">
        <v>0.63</v>
      </c>
      <c r="AQ280" s="96">
        <v>0.28000000000000003</v>
      </c>
      <c r="AR280" s="96">
        <v>19.100000000000001</v>
      </c>
      <c r="AS280" s="93">
        <v>4.4000000000000004</v>
      </c>
      <c r="AT280" s="96">
        <v>7</v>
      </c>
      <c r="AU280" s="96">
        <v>1</v>
      </c>
      <c r="AV280" s="99">
        <v>78.3</v>
      </c>
      <c r="AW280" s="98">
        <v>9.8000000000000007</v>
      </c>
      <c r="AX280" s="98">
        <v>26.8</v>
      </c>
      <c r="AY280" s="98">
        <v>3</v>
      </c>
      <c r="AZ280" s="98">
        <v>116.7</v>
      </c>
      <c r="BA280" s="98">
        <v>9.8000000000000007</v>
      </c>
      <c r="BB280" s="98">
        <v>23.9</v>
      </c>
      <c r="BC280" s="98">
        <v>3.5</v>
      </c>
      <c r="BD280" s="98">
        <v>207</v>
      </c>
      <c r="BE280" s="98">
        <v>33</v>
      </c>
      <c r="BF280" s="98">
        <v>41</v>
      </c>
      <c r="BG280" s="98">
        <v>5.8</v>
      </c>
      <c r="BI280" s="93">
        <v>8.6999999999999993</v>
      </c>
      <c r="BJ280" s="98">
        <v>3.6</v>
      </c>
      <c r="BK280" s="98">
        <v>537000</v>
      </c>
      <c r="BL280" s="98">
        <v>73000</v>
      </c>
      <c r="BM280" s="98">
        <v>11500</v>
      </c>
      <c r="BN280" s="98">
        <v>1500</v>
      </c>
      <c r="BO280" s="99">
        <v>34.4</v>
      </c>
      <c r="BP280" s="98">
        <v>4</v>
      </c>
      <c r="BQ280" s="99">
        <v>40.200000000000003</v>
      </c>
      <c r="BR280" s="98">
        <v>4.5999999999999996</v>
      </c>
      <c r="BT280" s="95">
        <f t="shared" si="217"/>
        <v>0.19420289855072465</v>
      </c>
      <c r="BU280" s="96">
        <f t="shared" si="218"/>
        <v>28.03921568627451</v>
      </c>
      <c r="BV280" s="96">
        <f t="shared" si="219"/>
        <v>46.695652173913047</v>
      </c>
      <c r="BW280" s="96">
        <f t="shared" si="220"/>
        <v>0.85572139303482575</v>
      </c>
      <c r="BX280" s="99">
        <f t="shared" si="241"/>
        <v>127.26228097791092</v>
      </c>
      <c r="BY280" s="96">
        <f t="shared" si="221"/>
        <v>28.03921568627451</v>
      </c>
      <c r="BZ280" s="97">
        <f t="shared" si="222"/>
        <v>3.4194165471066476E-2</v>
      </c>
      <c r="CA280" s="95">
        <f t="shared" si="223"/>
        <v>0.2203522579665074</v>
      </c>
      <c r="CB280" s="99">
        <f t="shared" si="188"/>
        <v>65.788812248430389</v>
      </c>
      <c r="CC280" s="99">
        <f t="shared" si="188"/>
        <v>7.5280730433527294</v>
      </c>
      <c r="CD280" s="100">
        <f t="shared" si="224"/>
        <v>759.87627822391858</v>
      </c>
      <c r="CE280" s="100">
        <f t="shared" si="239"/>
        <v>800.56723045064234</v>
      </c>
      <c r="CF280" s="100">
        <f t="shared" si="225"/>
        <v>45.183481227117355</v>
      </c>
      <c r="CG280" s="96">
        <f t="shared" si="240"/>
        <v>1.3882365493139086</v>
      </c>
      <c r="CH280" s="96">
        <f t="shared" si="214"/>
        <v>0.57584787838143114</v>
      </c>
      <c r="CJ280" s="95">
        <f t="shared" si="242"/>
        <v>4.6413502109704644E-2</v>
      </c>
      <c r="CK280" s="93">
        <f t="shared" si="226"/>
        <v>23.366013071895427</v>
      </c>
      <c r="CL280" s="93">
        <f t="shared" si="227"/>
        <v>0.72631578947368425</v>
      </c>
      <c r="CM280" s="93">
        <f t="shared" si="228"/>
        <v>1.0920770877944326</v>
      </c>
      <c r="CN280" s="93">
        <f t="shared" si="229"/>
        <v>26.143790849673202</v>
      </c>
      <c r="CO280" s="93">
        <f t="shared" si="230"/>
        <v>10.86206896551724</v>
      </c>
      <c r="CP280" s="93">
        <f t="shared" si="231"/>
        <v>92.944038929440396</v>
      </c>
      <c r="CQ280" s="93">
        <f t="shared" si="232"/>
        <v>187.16577540106951</v>
      </c>
      <c r="CR280" s="93">
        <f t="shared" si="233"/>
        <v>308.26771653543307</v>
      </c>
      <c r="CS280" s="93">
        <f t="shared" si="234"/>
        <v>473.49823321554771</v>
      </c>
      <c r="CT280" s="93">
        <f t="shared" si="235"/>
        <v>705.13595166163145</v>
      </c>
      <c r="CU280" s="93">
        <f t="shared" si="236"/>
        <v>937.25490196078431</v>
      </c>
      <c r="CV280" s="93">
        <f t="shared" si="237"/>
        <v>1217.6470588235293</v>
      </c>
      <c r="CW280" s="93">
        <f t="shared" si="238"/>
        <v>1614.1732283464567</v>
      </c>
    </row>
    <row r="281" spans="1:101" s="98" customFormat="1">
      <c r="A281" s="3" t="s">
        <v>495</v>
      </c>
      <c r="B281" s="92" t="s">
        <v>244</v>
      </c>
      <c r="C281" s="3"/>
      <c r="D281" s="93">
        <v>11.087</v>
      </c>
      <c r="E281" s="94">
        <v>0.18440000000000001</v>
      </c>
      <c r="F281" s="94">
        <v>1.1000000000000001E-3</v>
      </c>
      <c r="G281" s="95">
        <v>13.331</v>
      </c>
      <c r="H281" s="96">
        <v>0.4</v>
      </c>
      <c r="I281" s="97">
        <v>0.52600000000000002</v>
      </c>
      <c r="J281" s="95">
        <v>1.4E-2</v>
      </c>
      <c r="K281" s="96">
        <v>0.61</v>
      </c>
      <c r="M281" s="99">
        <v>2724</v>
      </c>
      <c r="N281" s="98">
        <v>61</v>
      </c>
      <c r="O281" s="99">
        <v>2691.5</v>
      </c>
      <c r="P281" s="98">
        <v>4.9000000000000004</v>
      </c>
      <c r="Q281" s="93">
        <v>-1.1100000000000001</v>
      </c>
      <c r="R281" s="97">
        <v>4.8999999999999998E-4</v>
      </c>
      <c r="T281" s="98">
        <v>380</v>
      </c>
      <c r="U281" s="98">
        <v>140</v>
      </c>
      <c r="V281" s="98">
        <v>0.7</v>
      </c>
      <c r="W281" s="98">
        <v>1.4</v>
      </c>
      <c r="X281" s="98">
        <v>0.06</v>
      </c>
      <c r="Y281" s="98">
        <v>0.12</v>
      </c>
      <c r="Z281" s="98">
        <v>1.83</v>
      </c>
      <c r="AA281" s="98">
        <v>0.64</v>
      </c>
      <c r="AB281" s="98">
        <v>0.77</v>
      </c>
      <c r="AC281" s="98">
        <v>0.34</v>
      </c>
      <c r="AD281" s="98">
        <v>2170</v>
      </c>
      <c r="AE281" s="98">
        <v>270</v>
      </c>
      <c r="AF281" s="95">
        <v>2.8999999999999998E-3</v>
      </c>
      <c r="AG281" s="97">
        <v>8.5000000000000006E-3</v>
      </c>
      <c r="AH281" s="96">
        <v>20.7</v>
      </c>
      <c r="AI281" s="96">
        <v>2.4</v>
      </c>
      <c r="AJ281" s="95">
        <v>0.4</v>
      </c>
      <c r="AK281" s="95">
        <v>0.11</v>
      </c>
      <c r="AL281" s="96">
        <v>7.2</v>
      </c>
      <c r="AM281" s="96">
        <v>1.5</v>
      </c>
      <c r="AN281" s="96">
        <v>11.1</v>
      </c>
      <c r="AO281" s="96">
        <v>2</v>
      </c>
      <c r="AP281" s="96">
        <v>2.29</v>
      </c>
      <c r="AQ281" s="96">
        <v>0.54</v>
      </c>
      <c r="AR281" s="96">
        <v>54.7</v>
      </c>
      <c r="AS281" s="93">
        <v>7.3</v>
      </c>
      <c r="AT281" s="96">
        <v>20.3</v>
      </c>
      <c r="AU281" s="96">
        <v>2.5</v>
      </c>
      <c r="AV281" s="99">
        <v>221</v>
      </c>
      <c r="AW281" s="98">
        <v>23</v>
      </c>
      <c r="AX281" s="98">
        <v>71.900000000000006</v>
      </c>
      <c r="AY281" s="98">
        <v>7</v>
      </c>
      <c r="AZ281" s="98">
        <v>332</v>
      </c>
      <c r="BA281" s="98">
        <v>36</v>
      </c>
      <c r="BB281" s="98">
        <v>60.8</v>
      </c>
      <c r="BC281" s="98">
        <v>7.7</v>
      </c>
      <c r="BD281" s="98">
        <v>510</v>
      </c>
      <c r="BE281" s="98">
        <v>61</v>
      </c>
      <c r="BF281" s="98">
        <v>99</v>
      </c>
      <c r="BG281" s="98">
        <v>13</v>
      </c>
      <c r="BI281" s="93">
        <v>4.2</v>
      </c>
      <c r="BJ281" s="98">
        <v>3.4</v>
      </c>
      <c r="BK281" s="98">
        <v>562000</v>
      </c>
      <c r="BL281" s="98">
        <v>63000</v>
      </c>
      <c r="BM281" s="98">
        <v>9600</v>
      </c>
      <c r="BN281" s="98">
        <v>1100</v>
      </c>
      <c r="BO281" s="99">
        <v>91.5</v>
      </c>
      <c r="BP281" s="98">
        <v>9.1</v>
      </c>
      <c r="BQ281" s="99">
        <v>102</v>
      </c>
      <c r="BR281" s="98">
        <v>10</v>
      </c>
      <c r="BT281" s="95">
        <f t="shared" si="217"/>
        <v>0.2</v>
      </c>
      <c r="BU281" s="96">
        <f t="shared" si="218"/>
        <v>2.875</v>
      </c>
      <c r="BV281" s="96">
        <f t="shared" si="219"/>
        <v>58.541666666666664</v>
      </c>
      <c r="BW281" s="96">
        <f t="shared" si="220"/>
        <v>0.8970588235294118</v>
      </c>
      <c r="BX281" s="99">
        <f t="shared" si="241"/>
        <v>149.01359912243589</v>
      </c>
      <c r="BY281" s="96">
        <f t="shared" si="221"/>
        <v>2.875</v>
      </c>
      <c r="BZ281" s="97">
        <f t="shared" si="222"/>
        <v>1.3248847926267281E-3</v>
      </c>
      <c r="CA281" s="95">
        <f t="shared" si="223"/>
        <v>0.28412141226842558</v>
      </c>
      <c r="CB281" s="99">
        <f t="shared" ref="CB281:CC340" si="243">BQ281*(EXP(0.0001551*2740)+0.0072*EXP(2740*0.0009849))</f>
        <v>166.9268370482562</v>
      </c>
      <c r="CC281" s="99">
        <f t="shared" si="243"/>
        <v>16.365376181201587</v>
      </c>
      <c r="CD281" s="100">
        <f t="shared" si="224"/>
        <v>694.04360437595142</v>
      </c>
      <c r="CE281" s="100">
        <f t="shared" si="239"/>
        <v>729.62419278363473</v>
      </c>
      <c r="CF281" s="100">
        <f t="shared" si="225"/>
        <v>75.825435228089077</v>
      </c>
      <c r="CG281" s="96">
        <f t="shared" si="240"/>
        <v>1.8533996460702384</v>
      </c>
      <c r="CH281" s="96">
        <f t="shared" si="214"/>
        <v>0.87935438952507661</v>
      </c>
      <c r="CJ281" s="95">
        <f t="shared" si="242"/>
        <v>1.2236286919831224E-2</v>
      </c>
      <c r="CK281" s="93">
        <f t="shared" si="226"/>
        <v>33.823529411764703</v>
      </c>
      <c r="CL281" s="93">
        <f t="shared" si="227"/>
        <v>4.2105263157894735</v>
      </c>
      <c r="CM281" s="93">
        <f t="shared" si="228"/>
        <v>15.417558886509635</v>
      </c>
      <c r="CN281" s="93">
        <f t="shared" si="229"/>
        <v>72.549019607843135</v>
      </c>
      <c r="CO281" s="93">
        <f t="shared" si="230"/>
        <v>39.482758620689651</v>
      </c>
      <c r="CP281" s="93">
        <f t="shared" si="231"/>
        <v>266.18004866180053</v>
      </c>
      <c r="CQ281" s="93">
        <f t="shared" si="232"/>
        <v>542.78074866310158</v>
      </c>
      <c r="CR281" s="93">
        <f t="shared" si="233"/>
        <v>870.0787401574803</v>
      </c>
      <c r="CS281" s="93">
        <f t="shared" si="234"/>
        <v>1270.3180212014136</v>
      </c>
      <c r="CT281" s="93">
        <f t="shared" si="235"/>
        <v>2006.0422960725075</v>
      </c>
      <c r="CU281" s="93">
        <f t="shared" si="236"/>
        <v>2384.3137254901962</v>
      </c>
      <c r="CV281" s="93">
        <f t="shared" si="237"/>
        <v>3000</v>
      </c>
      <c r="CW281" s="93">
        <f t="shared" si="238"/>
        <v>3897.6377952755906</v>
      </c>
    </row>
    <row r="282" spans="1:101" s="98" customFormat="1">
      <c r="A282" s="3" t="s">
        <v>496</v>
      </c>
      <c r="B282" s="92" t="s">
        <v>244</v>
      </c>
      <c r="C282" s="3"/>
      <c r="D282" s="93">
        <v>11.006</v>
      </c>
      <c r="E282" s="94">
        <v>0.184</v>
      </c>
      <c r="F282" s="94">
        <v>1.1000000000000001E-3</v>
      </c>
      <c r="G282" s="95">
        <v>13.276</v>
      </c>
      <c r="H282" s="96">
        <v>0.39</v>
      </c>
      <c r="I282" s="97">
        <v>0.52490000000000003</v>
      </c>
      <c r="J282" s="95">
        <v>1.4E-2</v>
      </c>
      <c r="K282" s="96">
        <v>0.32762000000000002</v>
      </c>
      <c r="M282" s="99">
        <v>2719.8</v>
      </c>
      <c r="N282" s="98">
        <v>60</v>
      </c>
      <c r="O282" s="99">
        <v>2689.8</v>
      </c>
      <c r="P282" s="98">
        <v>6.2</v>
      </c>
      <c r="Q282" s="93">
        <v>-1.1200000000000001</v>
      </c>
      <c r="R282" s="97">
        <v>1.4999999999999999E-4</v>
      </c>
      <c r="T282" s="98">
        <v>340</v>
      </c>
      <c r="U282" s="98">
        <v>150</v>
      </c>
      <c r="V282" s="98">
        <v>1</v>
      </c>
      <c r="W282" s="98">
        <v>1.6</v>
      </c>
      <c r="X282" s="98" t="s">
        <v>250</v>
      </c>
      <c r="Y282" s="98" t="s">
        <v>250</v>
      </c>
      <c r="Z282" s="98">
        <v>3.1</v>
      </c>
      <c r="AA282" s="98">
        <v>1</v>
      </c>
      <c r="AB282" s="98">
        <v>1.08</v>
      </c>
      <c r="AC282" s="98">
        <v>0.42</v>
      </c>
      <c r="AD282" s="98">
        <v>1190</v>
      </c>
      <c r="AE282" s="98">
        <v>140</v>
      </c>
      <c r="AF282" s="95">
        <v>2.3999999999999998E-3</v>
      </c>
      <c r="AG282" s="97">
        <v>7.4999999999999997E-3</v>
      </c>
      <c r="AH282" s="96">
        <v>17.600000000000001</v>
      </c>
      <c r="AI282" s="96">
        <v>1.3</v>
      </c>
      <c r="AJ282" s="95">
        <v>0.124</v>
      </c>
      <c r="AK282" s="95">
        <v>5.3999999999999999E-2</v>
      </c>
      <c r="AL282" s="96">
        <v>1.65</v>
      </c>
      <c r="AM282" s="96">
        <v>0.65</v>
      </c>
      <c r="AN282" s="96">
        <v>4.43</v>
      </c>
      <c r="AO282" s="96">
        <v>0.94</v>
      </c>
      <c r="AP282" s="96">
        <v>0.55000000000000004</v>
      </c>
      <c r="AQ282" s="96">
        <v>0.24</v>
      </c>
      <c r="AR282" s="96">
        <v>24.7</v>
      </c>
      <c r="AS282" s="93">
        <v>3.4</v>
      </c>
      <c r="AT282" s="96">
        <v>8.1999999999999993</v>
      </c>
      <c r="AU282" s="96">
        <v>1.1000000000000001</v>
      </c>
      <c r="AV282" s="99">
        <v>101</v>
      </c>
      <c r="AW282" s="98">
        <v>13</v>
      </c>
      <c r="AX282" s="98">
        <v>38.9</v>
      </c>
      <c r="AY282" s="98">
        <v>4.2</v>
      </c>
      <c r="AZ282" s="98">
        <v>193</v>
      </c>
      <c r="BA282" s="98">
        <v>17</v>
      </c>
      <c r="BB282" s="98">
        <v>38.4</v>
      </c>
      <c r="BC282" s="98">
        <v>4.5999999999999996</v>
      </c>
      <c r="BD282" s="98">
        <v>342</v>
      </c>
      <c r="BE282" s="98">
        <v>42</v>
      </c>
      <c r="BF282" s="98">
        <v>68.5</v>
      </c>
      <c r="BG282" s="98">
        <v>8.6</v>
      </c>
      <c r="BI282" s="93">
        <v>9.8000000000000007</v>
      </c>
      <c r="BJ282" s="98">
        <v>2.9</v>
      </c>
      <c r="BK282" s="98">
        <v>538000</v>
      </c>
      <c r="BL282" s="98">
        <v>58000</v>
      </c>
      <c r="BM282" s="98">
        <v>10900</v>
      </c>
      <c r="BN282" s="98">
        <v>1400</v>
      </c>
      <c r="BO282" s="99">
        <v>56.1</v>
      </c>
      <c r="BP282" s="98">
        <v>5.2</v>
      </c>
      <c r="BQ282" s="99">
        <v>85.2</v>
      </c>
      <c r="BR282" s="98">
        <v>8.1999999999999993</v>
      </c>
      <c r="BT282" s="95">
        <f t="shared" si="217"/>
        <v>0.24912280701754386</v>
      </c>
      <c r="BU282" s="96">
        <f t="shared" si="218"/>
        <v>10.666666666666668</v>
      </c>
      <c r="BV282" s="96">
        <f t="shared" si="219"/>
        <v>49.357798165137616</v>
      </c>
      <c r="BW282" s="96">
        <f t="shared" si="220"/>
        <v>0.65845070422535212</v>
      </c>
      <c r="BX282" s="99">
        <f t="shared" si="241"/>
        <v>250.13862480448068</v>
      </c>
      <c r="BY282" s="96">
        <f t="shared" si="221"/>
        <v>10.666666666666668</v>
      </c>
      <c r="BZ282" s="97">
        <f t="shared" si="222"/>
        <v>8.9635854341736706E-3</v>
      </c>
      <c r="CA282" s="95">
        <f t="shared" si="223"/>
        <v>0.16074444913812547</v>
      </c>
      <c r="CB282" s="99">
        <f t="shared" si="243"/>
        <v>139.43300506383753</v>
      </c>
      <c r="CC282" s="99">
        <f t="shared" si="243"/>
        <v>13.419608468585301</v>
      </c>
      <c r="CD282" s="100">
        <f t="shared" si="224"/>
        <v>771.5011798399297</v>
      </c>
      <c r="CE282" s="100">
        <f t="shared" si="239"/>
        <v>813.13154912645393</v>
      </c>
      <c r="CF282" s="100">
        <f t="shared" si="225"/>
        <v>34.053132005413829</v>
      </c>
      <c r="CG282" s="96">
        <f t="shared" si="240"/>
        <v>0.99409017671833766</v>
      </c>
      <c r="CH282" s="96">
        <f t="shared" si="214"/>
        <v>0.38582020875777545</v>
      </c>
      <c r="CJ282" s="95">
        <f t="shared" si="242"/>
        <v>1.0126582278481013E-2</v>
      </c>
      <c r="CK282" s="93">
        <f t="shared" si="226"/>
        <v>28.758169934640527</v>
      </c>
      <c r="CL282" s="93">
        <f t="shared" si="227"/>
        <v>1.3052631578947369</v>
      </c>
      <c r="CM282" s="93">
        <f t="shared" si="228"/>
        <v>3.5331905781584578</v>
      </c>
      <c r="CN282" s="93">
        <f t="shared" si="229"/>
        <v>28.954248366013072</v>
      </c>
      <c r="CO282" s="93">
        <f t="shared" si="230"/>
        <v>9.4827586206896548</v>
      </c>
      <c r="CP282" s="93">
        <f t="shared" si="231"/>
        <v>120.19464720194648</v>
      </c>
      <c r="CQ282" s="93">
        <f t="shared" si="232"/>
        <v>219.25133689839569</v>
      </c>
      <c r="CR282" s="93">
        <f t="shared" si="233"/>
        <v>397.63779527559052</v>
      </c>
      <c r="CS282" s="93">
        <f t="shared" si="234"/>
        <v>687.27915194346292</v>
      </c>
      <c r="CT282" s="93">
        <f t="shared" si="235"/>
        <v>1166.1631419939577</v>
      </c>
      <c r="CU282" s="93">
        <f t="shared" si="236"/>
        <v>1505.8823529411766</v>
      </c>
      <c r="CV282" s="93">
        <f t="shared" si="237"/>
        <v>2011.7647058823527</v>
      </c>
      <c r="CW282" s="93">
        <f t="shared" si="238"/>
        <v>2696.8503937007877</v>
      </c>
    </row>
    <row r="283" spans="1:101" s="98" customFormat="1">
      <c r="A283" s="3" t="s">
        <v>497</v>
      </c>
      <c r="B283" s="92" t="s">
        <v>244</v>
      </c>
      <c r="C283" s="3"/>
      <c r="D283" s="93">
        <v>11.023999999999999</v>
      </c>
      <c r="E283" s="94">
        <v>0.18379999999999999</v>
      </c>
      <c r="F283" s="94">
        <v>1.4E-3</v>
      </c>
      <c r="G283" s="95">
        <v>13.48</v>
      </c>
      <c r="H283" s="96">
        <v>0.41</v>
      </c>
      <c r="I283" s="97">
        <v>0.53349999999999997</v>
      </c>
      <c r="J283" s="95">
        <v>1.4999999999999999E-2</v>
      </c>
      <c r="K283" s="96">
        <v>0.68789</v>
      </c>
      <c r="M283" s="99">
        <v>2756</v>
      </c>
      <c r="N283" s="98">
        <v>64</v>
      </c>
      <c r="O283" s="99">
        <v>2690.1</v>
      </c>
      <c r="P283" s="98">
        <v>7.2</v>
      </c>
      <c r="Q283" s="93">
        <v>-2.6</v>
      </c>
      <c r="R283" s="97">
        <v>3.5E-4</v>
      </c>
      <c r="T283" s="98">
        <v>500</v>
      </c>
      <c r="U283" s="98">
        <v>130</v>
      </c>
      <c r="V283" s="98">
        <v>1.4</v>
      </c>
      <c r="W283" s="98">
        <v>1.7</v>
      </c>
      <c r="X283" s="98">
        <v>0.41</v>
      </c>
      <c r="Y283" s="98">
        <v>0.35</v>
      </c>
      <c r="Z283" s="98">
        <v>2.23</v>
      </c>
      <c r="AA283" s="98">
        <v>0.92</v>
      </c>
      <c r="AB283" s="98">
        <v>0.8</v>
      </c>
      <c r="AC283" s="98">
        <v>0.32</v>
      </c>
      <c r="AD283" s="98">
        <v>1930</v>
      </c>
      <c r="AE283" s="98">
        <v>170</v>
      </c>
      <c r="AF283" s="95">
        <v>1.2E-2</v>
      </c>
      <c r="AG283" s="97">
        <v>1.2999999999999999E-2</v>
      </c>
      <c r="AH283" s="96">
        <v>22.1</v>
      </c>
      <c r="AI283" s="96">
        <v>3</v>
      </c>
      <c r="AJ283" s="95">
        <v>0.36</v>
      </c>
      <c r="AK283" s="95">
        <v>0.12</v>
      </c>
      <c r="AL283" s="96">
        <v>6</v>
      </c>
      <c r="AM283" s="96">
        <v>1.2</v>
      </c>
      <c r="AN283" s="96">
        <v>12.5</v>
      </c>
      <c r="AO283" s="96">
        <v>2.5</v>
      </c>
      <c r="AP283" s="96">
        <v>2.4500000000000002</v>
      </c>
      <c r="AQ283" s="96">
        <v>0.46</v>
      </c>
      <c r="AR283" s="96">
        <v>56.9</v>
      </c>
      <c r="AS283" s="93">
        <v>7.2</v>
      </c>
      <c r="AT283" s="96">
        <v>17.2</v>
      </c>
      <c r="AU283" s="96">
        <v>2.1</v>
      </c>
      <c r="AV283" s="99">
        <v>202</v>
      </c>
      <c r="AW283" s="98">
        <v>19</v>
      </c>
      <c r="AX283" s="98">
        <v>64.2</v>
      </c>
      <c r="AY283" s="98">
        <v>6.3</v>
      </c>
      <c r="AZ283" s="98">
        <v>300</v>
      </c>
      <c r="BA283" s="98">
        <v>35</v>
      </c>
      <c r="BB283" s="98">
        <v>53.2</v>
      </c>
      <c r="BC283" s="98">
        <v>5.8</v>
      </c>
      <c r="BD283" s="98">
        <v>477</v>
      </c>
      <c r="BE283" s="98">
        <v>44</v>
      </c>
      <c r="BF283" s="98">
        <v>86</v>
      </c>
      <c r="BG283" s="98">
        <v>10</v>
      </c>
      <c r="BI283" s="93">
        <v>6.6</v>
      </c>
      <c r="BJ283" s="98">
        <v>2.9</v>
      </c>
      <c r="BK283" s="98">
        <v>491000</v>
      </c>
      <c r="BL283" s="98">
        <v>42000</v>
      </c>
      <c r="BM283" s="98">
        <v>9600</v>
      </c>
      <c r="BN283" s="98">
        <v>1000</v>
      </c>
      <c r="BO283" s="99">
        <v>95.5</v>
      </c>
      <c r="BP283" s="98">
        <v>9.1999999999999993</v>
      </c>
      <c r="BQ283" s="99">
        <v>105</v>
      </c>
      <c r="BR283" s="98">
        <v>10</v>
      </c>
      <c r="BT283" s="95">
        <f t="shared" si="217"/>
        <v>0.22012578616352202</v>
      </c>
      <c r="BU283" s="96">
        <f t="shared" si="218"/>
        <v>3.6833333333333336</v>
      </c>
      <c r="BV283" s="96">
        <f t="shared" si="219"/>
        <v>51.145833333333336</v>
      </c>
      <c r="BW283" s="96">
        <f t="shared" si="220"/>
        <v>0.90952380952380951</v>
      </c>
      <c r="BX283" s="99">
        <f t="shared" si="241"/>
        <v>82.439424959923812</v>
      </c>
      <c r="BY283" s="96">
        <f t="shared" si="221"/>
        <v>3.6833333333333336</v>
      </c>
      <c r="BZ283" s="97">
        <f t="shared" si="222"/>
        <v>1.90846286701209E-3</v>
      </c>
      <c r="CA283" s="95">
        <f t="shared" si="223"/>
        <v>0.28085268464618651</v>
      </c>
      <c r="CB283" s="99">
        <f t="shared" si="243"/>
        <v>171.83644990261666</v>
      </c>
      <c r="CC283" s="99">
        <f t="shared" si="243"/>
        <v>16.365376181201587</v>
      </c>
      <c r="CD283" s="100">
        <f t="shared" si="224"/>
        <v>733.87455689283559</v>
      </c>
      <c r="CE283" s="100">
        <f t="shared" si="239"/>
        <v>772.50457063572787</v>
      </c>
      <c r="CF283" s="100">
        <f t="shared" si="225"/>
        <v>45.519384210304771</v>
      </c>
      <c r="CG283" s="96">
        <f t="shared" si="240"/>
        <v>1.5500800136590112</v>
      </c>
      <c r="CH283" s="96">
        <f t="shared" si="214"/>
        <v>0.56668710762205843</v>
      </c>
      <c r="CJ283" s="95">
        <f t="shared" si="242"/>
        <v>5.0632911392405069E-2</v>
      </c>
      <c r="CK283" s="93">
        <f t="shared" si="226"/>
        <v>36.111111111111114</v>
      </c>
      <c r="CL283" s="93">
        <f t="shared" si="227"/>
        <v>3.7894736842105261</v>
      </c>
      <c r="CM283" s="93">
        <f t="shared" si="228"/>
        <v>12.847965738758029</v>
      </c>
      <c r="CN283" s="93">
        <f t="shared" si="229"/>
        <v>81.699346405228766</v>
      </c>
      <c r="CO283" s="93">
        <f t="shared" si="230"/>
        <v>42.241379310344826</v>
      </c>
      <c r="CP283" s="93">
        <f t="shared" si="231"/>
        <v>276.88564476885648</v>
      </c>
      <c r="CQ283" s="93">
        <f t="shared" si="232"/>
        <v>459.89304812834217</v>
      </c>
      <c r="CR283" s="93">
        <f t="shared" si="233"/>
        <v>795.27559055118104</v>
      </c>
      <c r="CS283" s="93">
        <f t="shared" si="234"/>
        <v>1134.2756183745585</v>
      </c>
      <c r="CT283" s="93">
        <f t="shared" si="235"/>
        <v>1812.6888217522658</v>
      </c>
      <c r="CU283" s="93">
        <f t="shared" si="236"/>
        <v>2086.2745098039218</v>
      </c>
      <c r="CV283" s="93">
        <f t="shared" si="237"/>
        <v>2805.8823529411761</v>
      </c>
      <c r="CW283" s="93">
        <f t="shared" si="238"/>
        <v>3385.8267716535433</v>
      </c>
    </row>
    <row r="284" spans="1:101" s="98" customFormat="1">
      <c r="A284" s="3" t="s">
        <v>498</v>
      </c>
      <c r="B284" s="92" t="s">
        <v>244</v>
      </c>
      <c r="C284" s="3"/>
      <c r="D284" s="93">
        <v>11.026999999999999</v>
      </c>
      <c r="E284" s="94">
        <v>0.18340000000000001</v>
      </c>
      <c r="F284" s="94">
        <v>1.1999999999999999E-3</v>
      </c>
      <c r="G284" s="95">
        <v>13.87</v>
      </c>
      <c r="H284" s="96">
        <v>0.43</v>
      </c>
      <c r="I284" s="97">
        <v>0.54979999999999996</v>
      </c>
      <c r="J284" s="95">
        <v>1.4999999999999999E-2</v>
      </c>
      <c r="K284" s="96">
        <v>0.87331999999999999</v>
      </c>
      <c r="M284" s="99">
        <v>2824</v>
      </c>
      <c r="N284" s="98">
        <v>64</v>
      </c>
      <c r="O284" s="99">
        <v>2683.6</v>
      </c>
      <c r="P284" s="98">
        <v>8.8000000000000007</v>
      </c>
      <c r="Q284" s="93">
        <v>-5.13</v>
      </c>
      <c r="R284" s="97">
        <v>0</v>
      </c>
      <c r="T284" s="98">
        <v>250</v>
      </c>
      <c r="U284" s="98">
        <v>180</v>
      </c>
      <c r="V284" s="98">
        <v>1.7</v>
      </c>
      <c r="W284" s="98">
        <v>1.6</v>
      </c>
      <c r="X284" s="98">
        <v>0.21</v>
      </c>
      <c r="Y284" s="98">
        <v>0.2</v>
      </c>
      <c r="Z284" s="98">
        <v>1.76</v>
      </c>
      <c r="AA284" s="98">
        <v>0.44</v>
      </c>
      <c r="AB284" s="98">
        <v>0.83</v>
      </c>
      <c r="AC284" s="98">
        <v>0.33</v>
      </c>
      <c r="AD284" s="98">
        <v>1520</v>
      </c>
      <c r="AE284" s="98">
        <v>200</v>
      </c>
      <c r="AF284" s="95">
        <v>2.9000000000000001E-2</v>
      </c>
      <c r="AG284" s="97">
        <v>0.02</v>
      </c>
      <c r="AH284" s="96">
        <v>20.5</v>
      </c>
      <c r="AI284" s="96">
        <v>2.8</v>
      </c>
      <c r="AJ284" s="95">
        <v>0.24</v>
      </c>
      <c r="AK284" s="95">
        <v>7.3999999999999996E-2</v>
      </c>
      <c r="AL284" s="96">
        <v>4.4000000000000004</v>
      </c>
      <c r="AM284" s="96">
        <v>1.4</v>
      </c>
      <c r="AN284" s="96">
        <v>8</v>
      </c>
      <c r="AO284" s="96">
        <v>2.2000000000000002</v>
      </c>
      <c r="AP284" s="96">
        <v>1.1299999999999999</v>
      </c>
      <c r="AQ284" s="96">
        <v>0.34</v>
      </c>
      <c r="AR284" s="96">
        <v>41.8</v>
      </c>
      <c r="AS284" s="93">
        <v>4.3</v>
      </c>
      <c r="AT284" s="96">
        <v>12.8</v>
      </c>
      <c r="AU284" s="96">
        <v>1.6</v>
      </c>
      <c r="AV284" s="99">
        <v>150</v>
      </c>
      <c r="AW284" s="98">
        <v>18</v>
      </c>
      <c r="AX284" s="98">
        <v>48.7</v>
      </c>
      <c r="AY284" s="98">
        <v>4.5</v>
      </c>
      <c r="AZ284" s="98">
        <v>226</v>
      </c>
      <c r="BA284" s="98">
        <v>25</v>
      </c>
      <c r="BB284" s="98">
        <v>46.2</v>
      </c>
      <c r="BC284" s="98">
        <v>6.2</v>
      </c>
      <c r="BD284" s="98">
        <v>373</v>
      </c>
      <c r="BE284" s="98">
        <v>49</v>
      </c>
      <c r="BF284" s="98">
        <v>74</v>
      </c>
      <c r="BG284" s="98">
        <v>11</v>
      </c>
      <c r="BI284" s="93">
        <v>9.1999999999999993</v>
      </c>
      <c r="BJ284" s="98">
        <v>3.8</v>
      </c>
      <c r="BK284" s="98">
        <v>563000</v>
      </c>
      <c r="BL284" s="98">
        <v>77000</v>
      </c>
      <c r="BM284" s="98">
        <v>12900</v>
      </c>
      <c r="BN284" s="98">
        <v>1900</v>
      </c>
      <c r="BO284" s="99">
        <v>97.7</v>
      </c>
      <c r="BP284" s="98">
        <v>9.5</v>
      </c>
      <c r="BQ284" s="99">
        <v>97.8</v>
      </c>
      <c r="BR284" s="98">
        <v>9.8000000000000007</v>
      </c>
      <c r="BT284" s="95">
        <f t="shared" si="217"/>
        <v>0.2621983914209115</v>
      </c>
      <c r="BU284" s="96">
        <f t="shared" si="218"/>
        <v>4.6590909090909083</v>
      </c>
      <c r="BV284" s="96">
        <f t="shared" si="219"/>
        <v>43.643410852713181</v>
      </c>
      <c r="BW284" s="96">
        <f t="shared" si="220"/>
        <v>0.99897750511247452</v>
      </c>
      <c r="BX284" s="99">
        <f t="shared" si="241"/>
        <v>60.246773695692646</v>
      </c>
      <c r="BY284" s="96">
        <f t="shared" si="221"/>
        <v>4.6590909090909083</v>
      </c>
      <c r="BZ284" s="97">
        <f t="shared" si="222"/>
        <v>3.0651913875598081E-3</v>
      </c>
      <c r="CA284" s="95">
        <f t="shared" si="223"/>
        <v>0.18891608811017158</v>
      </c>
      <c r="CB284" s="99">
        <f t="shared" si="243"/>
        <v>160.05337905215151</v>
      </c>
      <c r="CC284" s="99">
        <f t="shared" si="243"/>
        <v>16.038068657577558</v>
      </c>
      <c r="CD284" s="100">
        <f t="shared" si="224"/>
        <v>765.30003252466202</v>
      </c>
      <c r="CE284" s="100">
        <f t="shared" si="239"/>
        <v>806.42789602967389</v>
      </c>
      <c r="CF284" s="100">
        <f t="shared" si="225"/>
        <v>45.560339490787072</v>
      </c>
      <c r="CG284" s="96">
        <f t="shared" si="240"/>
        <v>1.1936328194627859</v>
      </c>
      <c r="CH284" s="96">
        <f t="shared" si="214"/>
        <v>0.54149007845598773</v>
      </c>
      <c r="CJ284" s="95">
        <f t="shared" si="242"/>
        <v>0.12236286919831225</v>
      </c>
      <c r="CK284" s="93">
        <f t="shared" si="226"/>
        <v>33.496732026143789</v>
      </c>
      <c r="CL284" s="93">
        <f t="shared" si="227"/>
        <v>2.5263157894736841</v>
      </c>
      <c r="CM284" s="93">
        <f t="shared" si="228"/>
        <v>9.4218415417558887</v>
      </c>
      <c r="CN284" s="93">
        <f t="shared" si="229"/>
        <v>52.287581699346404</v>
      </c>
      <c r="CO284" s="93">
        <f t="shared" si="230"/>
        <v>19.482758620689651</v>
      </c>
      <c r="CP284" s="93">
        <f t="shared" si="231"/>
        <v>203.40632603406326</v>
      </c>
      <c r="CQ284" s="93">
        <f t="shared" si="232"/>
        <v>342.24598930481284</v>
      </c>
      <c r="CR284" s="93">
        <f t="shared" si="233"/>
        <v>590.55118110236219</v>
      </c>
      <c r="CS284" s="93">
        <f t="shared" si="234"/>
        <v>860.4240282685513</v>
      </c>
      <c r="CT284" s="93">
        <f t="shared" si="235"/>
        <v>1365.5589123867069</v>
      </c>
      <c r="CU284" s="93">
        <f t="shared" si="236"/>
        <v>1811.7647058823532</v>
      </c>
      <c r="CV284" s="93">
        <f t="shared" si="237"/>
        <v>2194.1176470588234</v>
      </c>
      <c r="CW284" s="93">
        <f t="shared" si="238"/>
        <v>2913.3858267716537</v>
      </c>
    </row>
    <row r="285" spans="1:101" s="98" customFormat="1">
      <c r="A285" s="3" t="s">
        <v>499</v>
      </c>
      <c r="B285" s="92" t="s">
        <v>244</v>
      </c>
      <c r="C285" s="3"/>
      <c r="D285" s="93">
        <v>11.009</v>
      </c>
      <c r="E285" s="94">
        <v>0.1832</v>
      </c>
      <c r="F285" s="94">
        <v>1.6000000000000001E-3</v>
      </c>
      <c r="G285" s="95">
        <v>12.85</v>
      </c>
      <c r="H285" s="96">
        <v>0.39</v>
      </c>
      <c r="I285" s="97">
        <v>0.51039999999999996</v>
      </c>
      <c r="J285" s="95">
        <v>1.4E-2</v>
      </c>
      <c r="K285" s="96">
        <v>0.33199000000000001</v>
      </c>
      <c r="M285" s="99">
        <v>2658.2</v>
      </c>
      <c r="N285" s="98">
        <v>59</v>
      </c>
      <c r="O285" s="99">
        <v>2685</v>
      </c>
      <c r="P285" s="98">
        <v>11</v>
      </c>
      <c r="Q285" s="93">
        <v>0.98</v>
      </c>
      <c r="R285" s="97">
        <v>3.5000000000000001E-3</v>
      </c>
      <c r="T285" s="98">
        <v>350</v>
      </c>
      <c r="U285" s="98">
        <v>120</v>
      </c>
      <c r="V285" s="98" t="s">
        <v>250</v>
      </c>
      <c r="W285" s="98" t="s">
        <v>250</v>
      </c>
      <c r="X285" s="98">
        <v>4.3999999999999997E-2</v>
      </c>
      <c r="Y285" s="98">
        <v>9.4E-2</v>
      </c>
      <c r="Z285" s="98">
        <v>3.63</v>
      </c>
      <c r="AA285" s="98">
        <v>0.99</v>
      </c>
      <c r="AB285" s="98">
        <v>1.04</v>
      </c>
      <c r="AC285" s="98">
        <v>0.6</v>
      </c>
      <c r="AD285" s="98">
        <v>906</v>
      </c>
      <c r="AE285" s="98">
        <v>99</v>
      </c>
      <c r="AF285" s="95" t="s">
        <v>250</v>
      </c>
      <c r="AG285" s="97" t="s">
        <v>250</v>
      </c>
      <c r="AH285" s="96">
        <v>17.399999999999999</v>
      </c>
      <c r="AI285" s="96">
        <v>2</v>
      </c>
      <c r="AJ285" s="95">
        <v>7.2999999999999995E-2</v>
      </c>
      <c r="AK285" s="95">
        <v>3.6999999999999998E-2</v>
      </c>
      <c r="AL285" s="96">
        <v>1.21</v>
      </c>
      <c r="AM285" s="96">
        <v>0.72</v>
      </c>
      <c r="AN285" s="96">
        <v>2.14</v>
      </c>
      <c r="AO285" s="96">
        <v>0.98</v>
      </c>
      <c r="AP285" s="96">
        <v>0.43</v>
      </c>
      <c r="AQ285" s="96">
        <v>0.24</v>
      </c>
      <c r="AR285" s="96">
        <v>15</v>
      </c>
      <c r="AS285" s="93">
        <v>3.3</v>
      </c>
      <c r="AT285" s="96">
        <v>5.6</v>
      </c>
      <c r="AU285" s="96">
        <v>1.2</v>
      </c>
      <c r="AV285" s="99">
        <v>73</v>
      </c>
      <c r="AW285" s="98">
        <v>10</v>
      </c>
      <c r="AX285" s="98">
        <v>30.3</v>
      </c>
      <c r="AY285" s="98">
        <v>3.7</v>
      </c>
      <c r="AZ285" s="98">
        <v>155</v>
      </c>
      <c r="BA285" s="98">
        <v>17</v>
      </c>
      <c r="BB285" s="98">
        <v>31.6</v>
      </c>
      <c r="BC285" s="98">
        <v>3.9</v>
      </c>
      <c r="BD285" s="98">
        <v>294</v>
      </c>
      <c r="BE285" s="98">
        <v>31</v>
      </c>
      <c r="BF285" s="98">
        <v>60.2</v>
      </c>
      <c r="BG285" s="98">
        <v>7.4</v>
      </c>
      <c r="BI285" s="93">
        <v>10.1</v>
      </c>
      <c r="BJ285" s="98">
        <v>3.2</v>
      </c>
      <c r="BK285" s="98">
        <v>580000</v>
      </c>
      <c r="BL285" s="98">
        <v>75000</v>
      </c>
      <c r="BM285" s="98">
        <v>11900</v>
      </c>
      <c r="BN285" s="98">
        <v>1300</v>
      </c>
      <c r="BO285" s="99">
        <v>58.6</v>
      </c>
      <c r="BP285" s="98">
        <v>4.7</v>
      </c>
      <c r="BQ285" s="99">
        <v>91.8</v>
      </c>
      <c r="BR285" s="98">
        <v>6.8</v>
      </c>
      <c r="BT285" s="95">
        <f t="shared" si="217"/>
        <v>0.31224489795918364</v>
      </c>
      <c r="BU285" s="96">
        <f t="shared" si="218"/>
        <v>14.380165289256198</v>
      </c>
      <c r="BV285" s="96">
        <f t="shared" si="219"/>
        <v>48.739495798319325</v>
      </c>
      <c r="BW285" s="96">
        <f t="shared" si="220"/>
        <v>0.63834422657952072</v>
      </c>
      <c r="BX285" s="99"/>
      <c r="BY285" s="96">
        <f t="shared" si="221"/>
        <v>14.380165289256198</v>
      </c>
      <c r="BZ285" s="97">
        <f t="shared" si="222"/>
        <v>1.5872147118384323E-2</v>
      </c>
      <c r="CA285" s="95">
        <f t="shared" si="223"/>
        <v>0.23202756070145406</v>
      </c>
      <c r="CB285" s="99">
        <f t="shared" si="243"/>
        <v>150.23415334343056</v>
      </c>
      <c r="CC285" s="99">
        <f t="shared" si="243"/>
        <v>11.128455803217079</v>
      </c>
      <c r="CD285" s="100">
        <f t="shared" si="224"/>
        <v>774.48694920480659</v>
      </c>
      <c r="CE285" s="100">
        <f t="shared" si="239"/>
        <v>816.36039960649134</v>
      </c>
      <c r="CF285" s="100">
        <f t="shared" si="225"/>
        <v>36.366441048538547</v>
      </c>
      <c r="CG285" s="96">
        <f t="shared" si="240"/>
        <v>0.88351685566069582</v>
      </c>
      <c r="CH285" s="96">
        <f t="shared" si="214"/>
        <v>0.41757052067247419</v>
      </c>
      <c r="CJ285" s="95"/>
      <c r="CK285" s="93">
        <f t="shared" si="226"/>
        <v>28.431372549019606</v>
      </c>
      <c r="CL285" s="93">
        <f t="shared" si="227"/>
        <v>0.76842105263157889</v>
      </c>
      <c r="CM285" s="93">
        <f t="shared" si="228"/>
        <v>2.591006423982869</v>
      </c>
      <c r="CN285" s="93">
        <f t="shared" si="229"/>
        <v>13.986928104575165</v>
      </c>
      <c r="CO285" s="93">
        <f t="shared" si="230"/>
        <v>7.4137931034482758</v>
      </c>
      <c r="CP285" s="93">
        <f t="shared" si="231"/>
        <v>72.992700729927009</v>
      </c>
      <c r="CQ285" s="93">
        <f t="shared" si="232"/>
        <v>149.7326203208556</v>
      </c>
      <c r="CR285" s="93">
        <f t="shared" si="233"/>
        <v>287.40157480314963</v>
      </c>
      <c r="CS285" s="93">
        <f t="shared" si="234"/>
        <v>535.33568904593642</v>
      </c>
      <c r="CT285" s="93">
        <f t="shared" si="235"/>
        <v>936.5558912386706</v>
      </c>
      <c r="CU285" s="93">
        <f t="shared" si="236"/>
        <v>1239.2156862745098</v>
      </c>
      <c r="CV285" s="93">
        <f t="shared" si="237"/>
        <v>1729.4117647058822</v>
      </c>
      <c r="CW285" s="93">
        <f t="shared" si="238"/>
        <v>2370.0787401574803</v>
      </c>
    </row>
    <row r="286" spans="1:101" s="98" customFormat="1">
      <c r="A286" s="3" t="s">
        <v>500</v>
      </c>
      <c r="B286" s="92" t="s">
        <v>244</v>
      </c>
      <c r="C286" s="3"/>
      <c r="D286" s="93">
        <v>11.025</v>
      </c>
      <c r="E286" s="94">
        <v>0.185</v>
      </c>
      <c r="F286" s="94">
        <v>1.1000000000000001E-3</v>
      </c>
      <c r="G286" s="95">
        <v>13.351000000000001</v>
      </c>
      <c r="H286" s="96">
        <v>0.4</v>
      </c>
      <c r="I286" s="97">
        <v>0.52510000000000001</v>
      </c>
      <c r="J286" s="95">
        <v>1.4E-2</v>
      </c>
      <c r="K286" s="96">
        <v>0.67552000000000001</v>
      </c>
      <c r="M286" s="99">
        <v>2721</v>
      </c>
      <c r="N286" s="98">
        <v>61</v>
      </c>
      <c r="O286" s="99">
        <v>2698.9</v>
      </c>
      <c r="P286" s="98">
        <v>5.9</v>
      </c>
      <c r="Q286" s="93">
        <v>-0.81</v>
      </c>
      <c r="R286" s="97">
        <v>6.7000000000000002E-4</v>
      </c>
      <c r="T286" s="98">
        <v>360</v>
      </c>
      <c r="U286" s="98">
        <v>120</v>
      </c>
      <c r="V286" s="98" t="s">
        <v>250</v>
      </c>
      <c r="W286" s="98" t="s">
        <v>250</v>
      </c>
      <c r="X286" s="98">
        <v>0.17</v>
      </c>
      <c r="Y286" s="98">
        <v>0.16</v>
      </c>
      <c r="Z286" s="98">
        <v>1.89</v>
      </c>
      <c r="AA286" s="98">
        <v>0.49</v>
      </c>
      <c r="AB286" s="98">
        <v>1.32</v>
      </c>
      <c r="AC286" s="98">
        <v>0.57999999999999996</v>
      </c>
      <c r="AD286" s="98">
        <v>1210</v>
      </c>
      <c r="AE286" s="98">
        <v>140</v>
      </c>
      <c r="AF286" s="95">
        <v>1.4E-3</v>
      </c>
      <c r="AG286" s="97">
        <v>5.4999999999999997E-3</v>
      </c>
      <c r="AH286" s="96">
        <v>17.3</v>
      </c>
      <c r="AI286" s="96">
        <v>3.2</v>
      </c>
      <c r="AJ286" s="95">
        <v>0.10199999999999999</v>
      </c>
      <c r="AK286" s="95">
        <v>4.7E-2</v>
      </c>
      <c r="AL286" s="96">
        <v>2.7</v>
      </c>
      <c r="AM286" s="96">
        <v>1.1000000000000001</v>
      </c>
      <c r="AN286" s="96">
        <v>6.5</v>
      </c>
      <c r="AO286" s="96">
        <v>1.8</v>
      </c>
      <c r="AP286" s="96">
        <v>0.65</v>
      </c>
      <c r="AQ286" s="96">
        <v>0.23</v>
      </c>
      <c r="AR286" s="96">
        <v>26.9</v>
      </c>
      <c r="AS286" s="93">
        <v>4.8</v>
      </c>
      <c r="AT286" s="96">
        <v>8.8000000000000007</v>
      </c>
      <c r="AU286" s="96">
        <v>1.7</v>
      </c>
      <c r="AV286" s="99">
        <v>111</v>
      </c>
      <c r="AW286" s="98">
        <v>13</v>
      </c>
      <c r="AX286" s="98">
        <v>38.299999999999997</v>
      </c>
      <c r="AY286" s="98">
        <v>5.6</v>
      </c>
      <c r="AZ286" s="98">
        <v>193</v>
      </c>
      <c r="BA286" s="98">
        <v>26</v>
      </c>
      <c r="BB286" s="98">
        <v>36.700000000000003</v>
      </c>
      <c r="BC286" s="98">
        <v>3.9</v>
      </c>
      <c r="BD286" s="98">
        <v>324</v>
      </c>
      <c r="BE286" s="98">
        <v>42</v>
      </c>
      <c r="BF286" s="98">
        <v>58.3</v>
      </c>
      <c r="BG286" s="98">
        <v>6.5</v>
      </c>
      <c r="BI286" s="93">
        <v>9.4</v>
      </c>
      <c r="BJ286" s="98">
        <v>4.5</v>
      </c>
      <c r="BK286" s="98">
        <v>526000</v>
      </c>
      <c r="BL286" s="98">
        <v>76000</v>
      </c>
      <c r="BM286" s="98">
        <v>10900</v>
      </c>
      <c r="BN286" s="98">
        <v>1000</v>
      </c>
      <c r="BO286" s="99">
        <v>64.2</v>
      </c>
      <c r="BP286" s="98">
        <v>7.5</v>
      </c>
      <c r="BQ286" s="99">
        <v>81.900000000000006</v>
      </c>
      <c r="BR286" s="98">
        <v>9.3000000000000007</v>
      </c>
      <c r="BT286" s="95">
        <f t="shared" si="217"/>
        <v>0.25277777777777777</v>
      </c>
      <c r="BU286" s="96">
        <f t="shared" si="218"/>
        <v>6.4074074074074074</v>
      </c>
      <c r="BV286" s="96">
        <f t="shared" si="219"/>
        <v>48.256880733944953</v>
      </c>
      <c r="BW286" s="96">
        <f t="shared" si="220"/>
        <v>0.78388278388278387</v>
      </c>
      <c r="BX286" s="99">
        <f t="shared" ref="BX286:BX304" si="244">CK286/SQRT(CJ286*CL286)</f>
        <v>354.94948706327682</v>
      </c>
      <c r="BY286" s="96">
        <f t="shared" si="221"/>
        <v>6.4074074074074074</v>
      </c>
      <c r="BZ286" s="97">
        <f t="shared" si="222"/>
        <v>5.2953780226507501E-3</v>
      </c>
      <c r="CA286" s="95">
        <f t="shared" si="223"/>
        <v>0.15028103356134218</v>
      </c>
      <c r="CB286" s="99">
        <f t="shared" si="243"/>
        <v>134.03243092404102</v>
      </c>
      <c r="CC286" s="99">
        <f t="shared" si="243"/>
        <v>15.219799848517477</v>
      </c>
      <c r="CD286" s="100">
        <f t="shared" si="224"/>
        <v>767.40263182661749</v>
      </c>
      <c r="CE286" s="100">
        <f t="shared" si="239"/>
        <v>808.70052271995098</v>
      </c>
      <c r="CF286" s="100">
        <f t="shared" si="225"/>
        <v>52.548746835320443</v>
      </c>
      <c r="CG286" s="96">
        <f t="shared" si="240"/>
        <v>1.0346301442464334</v>
      </c>
      <c r="CH286" s="96">
        <f t="shared" si="214"/>
        <v>0.64844535204801823</v>
      </c>
      <c r="CJ286" s="95">
        <f t="shared" ref="CJ286:CJ305" si="245">AF286/CJ$4</f>
        <v>5.9071729957805913E-3</v>
      </c>
      <c r="CK286" s="93">
        <f t="shared" si="226"/>
        <v>28.267973856209153</v>
      </c>
      <c r="CL286" s="93">
        <f t="shared" si="227"/>
        <v>1.0736842105263158</v>
      </c>
      <c r="CM286" s="93">
        <f t="shared" si="228"/>
        <v>5.7815845824411136</v>
      </c>
      <c r="CN286" s="93">
        <f t="shared" si="229"/>
        <v>42.483660130718953</v>
      </c>
      <c r="CO286" s="93">
        <f t="shared" si="230"/>
        <v>11.206896551724137</v>
      </c>
      <c r="CP286" s="93">
        <f t="shared" si="231"/>
        <v>130.90024330900243</v>
      </c>
      <c r="CQ286" s="93">
        <f t="shared" si="232"/>
        <v>235.29411764705881</v>
      </c>
      <c r="CR286" s="93">
        <f t="shared" si="233"/>
        <v>437.00787401574803</v>
      </c>
      <c r="CS286" s="93">
        <f t="shared" si="234"/>
        <v>676.67844522968198</v>
      </c>
      <c r="CT286" s="93">
        <f t="shared" si="235"/>
        <v>1166.1631419939577</v>
      </c>
      <c r="CU286" s="93">
        <f t="shared" si="236"/>
        <v>1439.2156862745101</v>
      </c>
      <c r="CV286" s="93">
        <f t="shared" si="237"/>
        <v>1905.8823529411764</v>
      </c>
      <c r="CW286" s="93">
        <f t="shared" si="238"/>
        <v>2295.2755905511813</v>
      </c>
    </row>
    <row r="287" spans="1:101" s="98" customFormat="1">
      <c r="A287" s="3" t="s">
        <v>501</v>
      </c>
      <c r="B287" s="92" t="s">
        <v>244</v>
      </c>
      <c r="C287" s="3"/>
      <c r="D287" s="93">
        <v>11.051</v>
      </c>
      <c r="E287" s="94">
        <v>0.18679999999999999</v>
      </c>
      <c r="F287" s="94">
        <v>1.4E-3</v>
      </c>
      <c r="G287" s="95">
        <v>13.29</v>
      </c>
      <c r="H287" s="96">
        <v>0.41</v>
      </c>
      <c r="I287" s="97">
        <v>0.51780000000000004</v>
      </c>
      <c r="J287" s="95">
        <v>1.4999999999999999E-2</v>
      </c>
      <c r="K287" s="96">
        <v>0.76490999999999998</v>
      </c>
      <c r="M287" s="99">
        <v>2690</v>
      </c>
      <c r="N287" s="98">
        <v>62</v>
      </c>
      <c r="O287" s="99">
        <v>2714.5</v>
      </c>
      <c r="P287" s="98">
        <v>9.1</v>
      </c>
      <c r="Q287" s="93">
        <v>0.91</v>
      </c>
      <c r="R287" s="97">
        <v>4.8999999999999998E-3</v>
      </c>
      <c r="T287" s="98">
        <v>310</v>
      </c>
      <c r="U287" s="98">
        <v>160</v>
      </c>
      <c r="V287" s="98">
        <v>0.6</v>
      </c>
      <c r="W287" s="98">
        <v>1.4</v>
      </c>
      <c r="X287" s="98">
        <v>0.18</v>
      </c>
      <c r="Y287" s="98">
        <v>0.2</v>
      </c>
      <c r="Z287" s="98">
        <v>1.98</v>
      </c>
      <c r="AA287" s="98">
        <v>0.8</v>
      </c>
      <c r="AB287" s="98">
        <v>0.84</v>
      </c>
      <c r="AC287" s="98">
        <v>0.48</v>
      </c>
      <c r="AD287" s="98">
        <v>1520</v>
      </c>
      <c r="AE287" s="98">
        <v>260</v>
      </c>
      <c r="AF287" s="95">
        <v>2.5000000000000001E-2</v>
      </c>
      <c r="AG287" s="97">
        <v>0.02</v>
      </c>
      <c r="AH287" s="96">
        <v>17.899999999999999</v>
      </c>
      <c r="AI287" s="96">
        <v>3.5</v>
      </c>
      <c r="AJ287" s="95">
        <v>0.34</v>
      </c>
      <c r="AK287" s="95">
        <v>0.12</v>
      </c>
      <c r="AL287" s="96">
        <v>4.4000000000000004</v>
      </c>
      <c r="AM287" s="96">
        <v>1.6</v>
      </c>
      <c r="AN287" s="96">
        <v>8.1999999999999993</v>
      </c>
      <c r="AO287" s="96">
        <v>2.2000000000000002</v>
      </c>
      <c r="AP287" s="96">
        <v>1.1399999999999999</v>
      </c>
      <c r="AQ287" s="96">
        <v>0.38</v>
      </c>
      <c r="AR287" s="96">
        <v>41</v>
      </c>
      <c r="AS287" s="93">
        <v>12</v>
      </c>
      <c r="AT287" s="96">
        <v>12.5</v>
      </c>
      <c r="AU287" s="96">
        <v>3.1</v>
      </c>
      <c r="AV287" s="99">
        <v>137</v>
      </c>
      <c r="AW287" s="98">
        <v>29</v>
      </c>
      <c r="AX287" s="98">
        <v>45.9</v>
      </c>
      <c r="AY287" s="98">
        <v>8.6999999999999993</v>
      </c>
      <c r="AZ287" s="98">
        <v>228</v>
      </c>
      <c r="BA287" s="98">
        <v>52</v>
      </c>
      <c r="BB287" s="98">
        <v>41.2</v>
      </c>
      <c r="BC287" s="98">
        <v>7.4</v>
      </c>
      <c r="BD287" s="98">
        <v>351</v>
      </c>
      <c r="BE287" s="98">
        <v>67</v>
      </c>
      <c r="BF287" s="98">
        <v>65</v>
      </c>
      <c r="BG287" s="98">
        <v>11</v>
      </c>
      <c r="BI287" s="93">
        <v>13.1</v>
      </c>
      <c r="BJ287" s="98">
        <v>5.0999999999999996</v>
      </c>
      <c r="BK287" s="98">
        <v>532000</v>
      </c>
      <c r="BL287" s="98">
        <v>60000</v>
      </c>
      <c r="BM287" s="98">
        <v>10200</v>
      </c>
      <c r="BN287" s="98">
        <v>1100</v>
      </c>
      <c r="BO287" s="99">
        <v>81</v>
      </c>
      <c r="BP287" s="98">
        <v>21</v>
      </c>
      <c r="BQ287" s="99">
        <v>70</v>
      </c>
      <c r="BR287" s="98">
        <v>13</v>
      </c>
      <c r="BT287" s="95">
        <f t="shared" si="217"/>
        <v>0.19943019943019943</v>
      </c>
      <c r="BU287" s="96">
        <f t="shared" si="218"/>
        <v>4.0681818181818175</v>
      </c>
      <c r="BV287" s="96">
        <f t="shared" si="219"/>
        <v>52.156862745098039</v>
      </c>
      <c r="BW287" s="96">
        <f t="shared" si="220"/>
        <v>1.1571428571428573</v>
      </c>
      <c r="BX287" s="99">
        <f t="shared" si="244"/>
        <v>47.60232023323757</v>
      </c>
      <c r="BY287" s="96">
        <f t="shared" si="221"/>
        <v>4.0681818181818175</v>
      </c>
      <c r="BZ287" s="97">
        <f t="shared" si="222"/>
        <v>2.6764354066985642E-3</v>
      </c>
      <c r="CA287" s="95">
        <f t="shared" si="223"/>
        <v>0.19007702752272948</v>
      </c>
      <c r="CB287" s="99">
        <f t="shared" si="243"/>
        <v>114.55763326841111</v>
      </c>
      <c r="CC287" s="99">
        <f t="shared" si="243"/>
        <v>21.274989035562065</v>
      </c>
      <c r="CD287" s="100">
        <f t="shared" si="224"/>
        <v>800.96626741363013</v>
      </c>
      <c r="CE287" s="100">
        <f t="shared" si="239"/>
        <v>845.0277072529999</v>
      </c>
      <c r="CF287" s="100">
        <f t="shared" si="225"/>
        <v>45.990638383208385</v>
      </c>
      <c r="CG287" s="96">
        <f t="shared" si="240"/>
        <v>0.9421744136540553</v>
      </c>
      <c r="CH287" s="96">
        <f t="shared" si="214"/>
        <v>0.665114071347643</v>
      </c>
      <c r="CJ287" s="95">
        <f t="shared" si="245"/>
        <v>0.10548523206751056</v>
      </c>
      <c r="CK287" s="93">
        <f t="shared" si="226"/>
        <v>29.248366013071895</v>
      </c>
      <c r="CL287" s="93">
        <f t="shared" si="227"/>
        <v>3.5789473684210527</v>
      </c>
      <c r="CM287" s="93">
        <f t="shared" si="228"/>
        <v>9.4218415417558887</v>
      </c>
      <c r="CN287" s="93">
        <f t="shared" si="229"/>
        <v>53.59477124183006</v>
      </c>
      <c r="CO287" s="93">
        <f t="shared" si="230"/>
        <v>19.6551724137931</v>
      </c>
      <c r="CP287" s="93">
        <f t="shared" si="231"/>
        <v>199.51338199513384</v>
      </c>
      <c r="CQ287" s="93">
        <f t="shared" si="232"/>
        <v>334.22459893048125</v>
      </c>
      <c r="CR287" s="93">
        <f t="shared" si="233"/>
        <v>539.37007874015751</v>
      </c>
      <c r="CS287" s="93">
        <f t="shared" si="234"/>
        <v>810.95406360424033</v>
      </c>
      <c r="CT287" s="93">
        <f t="shared" si="235"/>
        <v>1377.6435045317219</v>
      </c>
      <c r="CU287" s="93">
        <f t="shared" si="236"/>
        <v>1615.6862745098042</v>
      </c>
      <c r="CV287" s="93">
        <f t="shared" si="237"/>
        <v>2064.705882352941</v>
      </c>
      <c r="CW287" s="93">
        <f t="shared" si="238"/>
        <v>2559.0551181102364</v>
      </c>
    </row>
    <row r="288" spans="1:101" s="98" customFormat="1">
      <c r="A288" s="3" t="s">
        <v>502</v>
      </c>
      <c r="B288" s="92" t="s">
        <v>244</v>
      </c>
      <c r="C288" s="3" t="s">
        <v>285</v>
      </c>
      <c r="D288" s="93">
        <v>11.053000000000001</v>
      </c>
      <c r="E288" s="94">
        <v>0.18456</v>
      </c>
      <c r="F288" s="94">
        <v>9.5E-4</v>
      </c>
      <c r="G288" s="95">
        <v>13.54</v>
      </c>
      <c r="H288" s="96">
        <v>0.41</v>
      </c>
      <c r="I288" s="97">
        <v>0.53459999999999996</v>
      </c>
      <c r="J288" s="95">
        <v>1.4999999999999999E-2</v>
      </c>
      <c r="K288" s="96">
        <v>0.79308999999999996</v>
      </c>
      <c r="M288" s="99">
        <v>2760</v>
      </c>
      <c r="N288" s="98">
        <v>63</v>
      </c>
      <c r="O288" s="99">
        <v>2691.7</v>
      </c>
      <c r="P288" s="98">
        <v>4</v>
      </c>
      <c r="Q288" s="93">
        <v>-2.41</v>
      </c>
      <c r="R288" s="97">
        <v>8.1000000000000004E-5</v>
      </c>
      <c r="T288" s="98">
        <v>320</v>
      </c>
      <c r="U288" s="98">
        <v>140</v>
      </c>
      <c r="V288" s="98">
        <v>1.1000000000000001</v>
      </c>
      <c r="W288" s="98">
        <v>1.6</v>
      </c>
      <c r="X288" s="98">
        <v>0.65</v>
      </c>
      <c r="Y288" s="98">
        <v>0.43</v>
      </c>
      <c r="Z288" s="98">
        <v>3.4</v>
      </c>
      <c r="AA288" s="98">
        <v>1.2</v>
      </c>
      <c r="AB288" s="98">
        <v>0.9</v>
      </c>
      <c r="AC288" s="98">
        <v>0.46</v>
      </c>
      <c r="AD288" s="98">
        <v>2720</v>
      </c>
      <c r="AE288" s="98">
        <v>310</v>
      </c>
      <c r="AF288" s="95">
        <v>1.7000000000000001E-2</v>
      </c>
      <c r="AG288" s="97">
        <v>1.4E-2</v>
      </c>
      <c r="AH288" s="96">
        <v>22.5</v>
      </c>
      <c r="AI288" s="96">
        <v>2.6</v>
      </c>
      <c r="AJ288" s="95">
        <v>0.4</v>
      </c>
      <c r="AK288" s="95">
        <v>0.1</v>
      </c>
      <c r="AL288" s="96">
        <v>6.7</v>
      </c>
      <c r="AM288" s="96">
        <v>1.6</v>
      </c>
      <c r="AN288" s="96">
        <v>15.5</v>
      </c>
      <c r="AO288" s="96">
        <v>3.2</v>
      </c>
      <c r="AP288" s="96">
        <v>2.84</v>
      </c>
      <c r="AQ288" s="96">
        <v>0.55000000000000004</v>
      </c>
      <c r="AR288" s="96">
        <v>81.5</v>
      </c>
      <c r="AS288" s="93">
        <v>9.8000000000000007</v>
      </c>
      <c r="AT288" s="96">
        <v>23.6</v>
      </c>
      <c r="AU288" s="96">
        <v>2.4</v>
      </c>
      <c r="AV288" s="99">
        <v>269</v>
      </c>
      <c r="AW288" s="98">
        <v>19</v>
      </c>
      <c r="AX288" s="98">
        <v>92.7</v>
      </c>
      <c r="AY288" s="98">
        <v>9.3000000000000007</v>
      </c>
      <c r="AZ288" s="98">
        <v>407</v>
      </c>
      <c r="BA288" s="98">
        <v>42</v>
      </c>
      <c r="BB288" s="98">
        <v>75.8</v>
      </c>
      <c r="BC288" s="98">
        <v>5.6</v>
      </c>
      <c r="BD288" s="98">
        <v>662</v>
      </c>
      <c r="BE288" s="98">
        <v>61</v>
      </c>
      <c r="BF288" s="98">
        <v>122</v>
      </c>
      <c r="BG288" s="98">
        <v>10</v>
      </c>
      <c r="BI288" s="93">
        <v>5.5</v>
      </c>
      <c r="BJ288" s="98">
        <v>3.2</v>
      </c>
      <c r="BK288" s="98">
        <v>517000</v>
      </c>
      <c r="BL288" s="98">
        <v>56000</v>
      </c>
      <c r="BM288" s="98">
        <v>9230</v>
      </c>
      <c r="BN288" s="98">
        <v>870</v>
      </c>
      <c r="BO288" s="99">
        <v>126.7</v>
      </c>
      <c r="BP288" s="98">
        <v>9.6999999999999993</v>
      </c>
      <c r="BQ288" s="99">
        <v>126.2</v>
      </c>
      <c r="BR288" s="98">
        <v>9.5</v>
      </c>
      <c r="BT288" s="95">
        <f t="shared" si="217"/>
        <v>0.19063444108761329</v>
      </c>
      <c r="BU288" s="96">
        <f t="shared" si="218"/>
        <v>3.3582089552238803</v>
      </c>
      <c r="BV288" s="96">
        <f t="shared" si="219"/>
        <v>56.013001083423617</v>
      </c>
      <c r="BW288" s="96">
        <f t="shared" si="220"/>
        <v>1.0039619651347069</v>
      </c>
      <c r="BX288" s="99">
        <f t="shared" si="244"/>
        <v>66.89792006662681</v>
      </c>
      <c r="BY288" s="96">
        <f t="shared" si="221"/>
        <v>3.3582089552238803</v>
      </c>
      <c r="BZ288" s="97">
        <f t="shared" si="222"/>
        <v>1.2346356453028973E-3</v>
      </c>
      <c r="CA288" s="95">
        <f t="shared" si="223"/>
        <v>0.24428529307540695</v>
      </c>
      <c r="CB288" s="99">
        <f t="shared" si="243"/>
        <v>206.53104740676403</v>
      </c>
      <c r="CC288" s="99">
        <f t="shared" si="243"/>
        <v>15.547107372141507</v>
      </c>
      <c r="CD288" s="100">
        <f t="shared" si="224"/>
        <v>717.41924957247181</v>
      </c>
      <c r="CE288" s="100">
        <f t="shared" si="239"/>
        <v>754.77369387117153</v>
      </c>
      <c r="CF288" s="100">
        <f t="shared" si="225"/>
        <v>57.600806394707909</v>
      </c>
      <c r="CG288" s="96">
        <f t="shared" si="240"/>
        <v>1.5797889133876029</v>
      </c>
      <c r="CH288" s="96">
        <f t="shared" si="214"/>
        <v>0.65824146632282599</v>
      </c>
      <c r="CJ288" s="95">
        <f t="shared" si="245"/>
        <v>7.1729957805907185E-2</v>
      </c>
      <c r="CK288" s="93">
        <f t="shared" si="226"/>
        <v>36.764705882352942</v>
      </c>
      <c r="CL288" s="93">
        <f t="shared" si="227"/>
        <v>4.2105263157894735</v>
      </c>
      <c r="CM288" s="93">
        <f t="shared" si="228"/>
        <v>14.346895074946467</v>
      </c>
      <c r="CN288" s="93">
        <f t="shared" si="229"/>
        <v>101.30718954248366</v>
      </c>
      <c r="CO288" s="93">
        <f t="shared" si="230"/>
        <v>48.965517241379303</v>
      </c>
      <c r="CP288" s="93">
        <f t="shared" si="231"/>
        <v>396.59367396593677</v>
      </c>
      <c r="CQ288" s="93">
        <f t="shared" si="232"/>
        <v>631.01604278074865</v>
      </c>
      <c r="CR288" s="93">
        <f t="shared" si="233"/>
        <v>1059.0551181102362</v>
      </c>
      <c r="CS288" s="93">
        <f t="shared" si="234"/>
        <v>1637.809187279152</v>
      </c>
      <c r="CT288" s="93">
        <f t="shared" si="235"/>
        <v>2459.2145015105739</v>
      </c>
      <c r="CU288" s="93">
        <f t="shared" si="236"/>
        <v>2972.5490196078431</v>
      </c>
      <c r="CV288" s="93">
        <f t="shared" si="237"/>
        <v>3894.1176470588234</v>
      </c>
      <c r="CW288" s="93">
        <f t="shared" si="238"/>
        <v>4803.1496062992128</v>
      </c>
    </row>
    <row r="289" spans="1:101" s="98" customFormat="1">
      <c r="A289" s="3" t="s">
        <v>503</v>
      </c>
      <c r="B289" s="92" t="s">
        <v>244</v>
      </c>
      <c r="C289" s="3" t="s">
        <v>285</v>
      </c>
      <c r="D289" s="93">
        <v>11.025</v>
      </c>
      <c r="E289" s="94">
        <v>0.18529999999999999</v>
      </c>
      <c r="F289" s="94">
        <v>1.8E-3</v>
      </c>
      <c r="G289" s="95">
        <v>13.56</v>
      </c>
      <c r="H289" s="96">
        <v>0.41</v>
      </c>
      <c r="I289" s="97">
        <v>0.53220000000000001</v>
      </c>
      <c r="J289" s="95">
        <v>1.4999999999999999E-2</v>
      </c>
      <c r="K289" s="96">
        <v>0.30840000000000001</v>
      </c>
      <c r="M289" s="99">
        <v>2751</v>
      </c>
      <c r="N289" s="98">
        <v>61</v>
      </c>
      <c r="O289" s="99">
        <v>2701.2</v>
      </c>
      <c r="P289" s="98">
        <v>8.6</v>
      </c>
      <c r="Q289" s="93">
        <v>-1.75</v>
      </c>
      <c r="R289" s="97">
        <v>2.2000000000000001E-4</v>
      </c>
      <c r="T289" s="98">
        <v>320</v>
      </c>
      <c r="U289" s="98">
        <v>120</v>
      </c>
      <c r="V289" s="98">
        <v>0.9</v>
      </c>
      <c r="W289" s="98">
        <v>1.1000000000000001</v>
      </c>
      <c r="X289" s="98" t="s">
        <v>250</v>
      </c>
      <c r="Y289" s="98" t="s">
        <v>250</v>
      </c>
      <c r="Z289" s="98">
        <v>1.97</v>
      </c>
      <c r="AA289" s="98">
        <v>0.45</v>
      </c>
      <c r="AB289" s="98">
        <v>0.73</v>
      </c>
      <c r="AC289" s="98">
        <v>0.35</v>
      </c>
      <c r="AD289" s="98">
        <v>1030</v>
      </c>
      <c r="AE289" s="98">
        <v>100</v>
      </c>
      <c r="AF289" s="95">
        <v>5.6000000000000001E-2</v>
      </c>
      <c r="AG289" s="97">
        <v>2.9000000000000001E-2</v>
      </c>
      <c r="AH289" s="96">
        <v>15.9</v>
      </c>
      <c r="AI289" s="96">
        <v>1.9</v>
      </c>
      <c r="AJ289" s="95">
        <v>7.3999999999999996E-2</v>
      </c>
      <c r="AK289" s="95">
        <v>3.5999999999999997E-2</v>
      </c>
      <c r="AL289" s="96">
        <v>1.28</v>
      </c>
      <c r="AM289" s="96">
        <v>0.52</v>
      </c>
      <c r="AN289" s="96">
        <v>4.2</v>
      </c>
      <c r="AO289" s="96">
        <v>1.3</v>
      </c>
      <c r="AP289" s="96">
        <v>0.57999999999999996</v>
      </c>
      <c r="AQ289" s="96">
        <v>0.2</v>
      </c>
      <c r="AR289" s="96">
        <v>21.1</v>
      </c>
      <c r="AS289" s="93">
        <v>4.0999999999999996</v>
      </c>
      <c r="AT289" s="96">
        <v>6.94</v>
      </c>
      <c r="AU289" s="96">
        <v>0.91</v>
      </c>
      <c r="AV289" s="99">
        <v>95</v>
      </c>
      <c r="AW289" s="98">
        <v>9.4</v>
      </c>
      <c r="AX289" s="98">
        <v>33.700000000000003</v>
      </c>
      <c r="AY289" s="98">
        <v>3.2</v>
      </c>
      <c r="AZ289" s="98">
        <v>161</v>
      </c>
      <c r="BA289" s="98">
        <v>15</v>
      </c>
      <c r="BB289" s="98">
        <v>31.6</v>
      </c>
      <c r="BC289" s="98">
        <v>3</v>
      </c>
      <c r="BD289" s="98">
        <v>294</v>
      </c>
      <c r="BE289" s="98">
        <v>33</v>
      </c>
      <c r="BF289" s="98">
        <v>58.1</v>
      </c>
      <c r="BG289" s="98">
        <v>5.9</v>
      </c>
      <c r="BI289" s="93">
        <v>8.4</v>
      </c>
      <c r="BJ289" s="98">
        <v>3.7</v>
      </c>
      <c r="BK289" s="98">
        <v>524000</v>
      </c>
      <c r="BL289" s="98">
        <v>43000</v>
      </c>
      <c r="BM289" s="98">
        <v>10800</v>
      </c>
      <c r="BN289" s="98">
        <v>1200</v>
      </c>
      <c r="BO289" s="99">
        <v>49.1</v>
      </c>
      <c r="BP289" s="98">
        <v>4.3</v>
      </c>
      <c r="BQ289" s="99">
        <v>62.3</v>
      </c>
      <c r="BR289" s="98">
        <v>5.3</v>
      </c>
      <c r="BT289" s="95">
        <f t="shared" si="217"/>
        <v>0.2119047619047619</v>
      </c>
      <c r="BU289" s="96">
        <f t="shared" si="218"/>
        <v>12.421875</v>
      </c>
      <c r="BV289" s="96">
        <f t="shared" si="219"/>
        <v>48.518518518518519</v>
      </c>
      <c r="BW289" s="96">
        <f t="shared" si="220"/>
        <v>0.7881219903691814</v>
      </c>
      <c r="BX289" s="99">
        <f t="shared" si="244"/>
        <v>60.558039157384457</v>
      </c>
      <c r="BY289" s="96">
        <f t="shared" si="221"/>
        <v>12.421875</v>
      </c>
      <c r="BZ289" s="97">
        <f t="shared" si="222"/>
        <v>1.206007281553398E-2</v>
      </c>
      <c r="CA289" s="95">
        <f t="shared" si="223"/>
        <v>0.18835873090944624</v>
      </c>
      <c r="CB289" s="99">
        <f t="shared" si="243"/>
        <v>101.95629360888589</v>
      </c>
      <c r="CC289" s="99">
        <f t="shared" si="243"/>
        <v>8.6736493760368418</v>
      </c>
      <c r="CD289" s="100">
        <f t="shared" si="224"/>
        <v>756.4991820815161</v>
      </c>
      <c r="CE289" s="100">
        <f t="shared" si="239"/>
        <v>796.91931629178237</v>
      </c>
      <c r="CF289" s="100">
        <f t="shared" si="225"/>
        <v>47.605431227553957</v>
      </c>
      <c r="CG289" s="96">
        <f t="shared" si="240"/>
        <v>1.2228513419660776</v>
      </c>
      <c r="CH289" s="96">
        <f t="shared" si="214"/>
        <v>0.53739353496681186</v>
      </c>
      <c r="CJ289" s="95">
        <f t="shared" si="245"/>
        <v>0.23628691983122366</v>
      </c>
      <c r="CK289" s="93">
        <f t="shared" si="226"/>
        <v>25.980392156862745</v>
      </c>
      <c r="CL289" s="93">
        <f t="shared" si="227"/>
        <v>0.77894736842105261</v>
      </c>
      <c r="CM289" s="93">
        <f t="shared" si="228"/>
        <v>2.7408993576017129</v>
      </c>
      <c r="CN289" s="93">
        <f t="shared" si="229"/>
        <v>27.450980392156865</v>
      </c>
      <c r="CO289" s="93">
        <f t="shared" si="230"/>
        <v>9.9999999999999982</v>
      </c>
      <c r="CP289" s="93">
        <f t="shared" si="231"/>
        <v>102.676399026764</v>
      </c>
      <c r="CQ289" s="93">
        <f t="shared" si="232"/>
        <v>185.56149732620321</v>
      </c>
      <c r="CR289" s="93">
        <f t="shared" si="233"/>
        <v>374.01574803149606</v>
      </c>
      <c r="CS289" s="93">
        <f t="shared" si="234"/>
        <v>595.40636042402832</v>
      </c>
      <c r="CT289" s="93">
        <f t="shared" si="235"/>
        <v>972.80966767371592</v>
      </c>
      <c r="CU289" s="93">
        <f t="shared" si="236"/>
        <v>1239.2156862745098</v>
      </c>
      <c r="CV289" s="93">
        <f t="shared" si="237"/>
        <v>1729.4117647058822</v>
      </c>
      <c r="CW289" s="93">
        <f t="shared" si="238"/>
        <v>2287.4015748031497</v>
      </c>
    </row>
    <row r="290" spans="1:101" s="98" customFormat="1">
      <c r="A290" s="3" t="s">
        <v>504</v>
      </c>
      <c r="B290" s="92" t="s">
        <v>244</v>
      </c>
      <c r="C290" s="3"/>
      <c r="D290" s="93">
        <v>11.099</v>
      </c>
      <c r="E290" s="94">
        <v>0.18284</v>
      </c>
      <c r="F290" s="94">
        <v>8.7000000000000001E-4</v>
      </c>
      <c r="G290" s="95">
        <v>13.292</v>
      </c>
      <c r="H290" s="96">
        <v>0.39</v>
      </c>
      <c r="I290" s="97">
        <v>0.52900000000000003</v>
      </c>
      <c r="J290" s="95">
        <v>1.4E-2</v>
      </c>
      <c r="K290" s="96">
        <v>0.49976999999999999</v>
      </c>
      <c r="M290" s="99">
        <v>2737.3</v>
      </c>
      <c r="N290" s="98">
        <v>60</v>
      </c>
      <c r="O290" s="99">
        <v>2679.4</v>
      </c>
      <c r="P290" s="98">
        <v>4.9000000000000004</v>
      </c>
      <c r="Q290" s="93">
        <v>-2.15</v>
      </c>
      <c r="R290" s="97">
        <v>3.8E-6</v>
      </c>
      <c r="T290" s="98">
        <v>420</v>
      </c>
      <c r="U290" s="98">
        <v>190</v>
      </c>
      <c r="V290" s="98">
        <v>1.2</v>
      </c>
      <c r="W290" s="98">
        <v>1.8</v>
      </c>
      <c r="X290" s="98">
        <v>0.56999999999999995</v>
      </c>
      <c r="Y290" s="98">
        <v>0.43</v>
      </c>
      <c r="Z290" s="98">
        <v>3.35</v>
      </c>
      <c r="AA290" s="98">
        <v>0.96</v>
      </c>
      <c r="AB290" s="98">
        <v>1</v>
      </c>
      <c r="AC290" s="98">
        <v>0.38</v>
      </c>
      <c r="AD290" s="98">
        <v>2240</v>
      </c>
      <c r="AE290" s="98">
        <v>270</v>
      </c>
      <c r="AF290" s="95">
        <v>2.4E-2</v>
      </c>
      <c r="AG290" s="97">
        <v>1.9E-2</v>
      </c>
      <c r="AH290" s="96">
        <v>28.7</v>
      </c>
      <c r="AI290" s="96">
        <v>4.3</v>
      </c>
      <c r="AJ290" s="95">
        <v>0.41</v>
      </c>
      <c r="AK290" s="95">
        <v>0.12</v>
      </c>
      <c r="AL290" s="96">
        <v>4.7</v>
      </c>
      <c r="AM290" s="96">
        <v>1.2</v>
      </c>
      <c r="AN290" s="96">
        <v>9.6999999999999993</v>
      </c>
      <c r="AO290" s="96">
        <v>2.4</v>
      </c>
      <c r="AP290" s="96">
        <v>1.18</v>
      </c>
      <c r="AQ290" s="96">
        <v>0.37</v>
      </c>
      <c r="AR290" s="96">
        <v>55</v>
      </c>
      <c r="AS290" s="93">
        <v>11</v>
      </c>
      <c r="AT290" s="96">
        <v>15.2</v>
      </c>
      <c r="AU290" s="96">
        <v>2.5</v>
      </c>
      <c r="AV290" s="99">
        <v>198</v>
      </c>
      <c r="AW290" s="98">
        <v>21</v>
      </c>
      <c r="AX290" s="98">
        <v>72</v>
      </c>
      <c r="AY290" s="98">
        <v>11</v>
      </c>
      <c r="AZ290" s="98">
        <v>343</v>
      </c>
      <c r="BA290" s="98">
        <v>35</v>
      </c>
      <c r="BB290" s="98">
        <v>66.7</v>
      </c>
      <c r="BC290" s="98">
        <v>8.4</v>
      </c>
      <c r="BD290" s="98">
        <v>577</v>
      </c>
      <c r="BE290" s="98">
        <v>84</v>
      </c>
      <c r="BF290" s="98">
        <v>105</v>
      </c>
      <c r="BG290" s="98">
        <v>17</v>
      </c>
      <c r="BI290" s="93">
        <v>12.4</v>
      </c>
      <c r="BJ290" s="98">
        <v>4.5</v>
      </c>
      <c r="BK290" s="98">
        <v>572000</v>
      </c>
      <c r="BL290" s="98">
        <v>67000</v>
      </c>
      <c r="BM290" s="98">
        <v>12200</v>
      </c>
      <c r="BN290" s="98">
        <v>1700</v>
      </c>
      <c r="BO290" s="99">
        <v>152</v>
      </c>
      <c r="BP290" s="98">
        <v>21</v>
      </c>
      <c r="BQ290" s="99">
        <v>147</v>
      </c>
      <c r="BR290" s="98">
        <v>18</v>
      </c>
      <c r="BT290" s="95">
        <f t="shared" si="217"/>
        <v>0.25476603119584057</v>
      </c>
      <c r="BU290" s="96">
        <f t="shared" si="218"/>
        <v>6.1063829787234036</v>
      </c>
      <c r="BV290" s="96">
        <f t="shared" si="219"/>
        <v>46.885245901639344</v>
      </c>
      <c r="BW290" s="96">
        <f t="shared" si="220"/>
        <v>1.0340136054421769</v>
      </c>
      <c r="BX290" s="99">
        <f t="shared" si="244"/>
        <v>70.93636024955866</v>
      </c>
      <c r="BY290" s="96">
        <f t="shared" si="221"/>
        <v>6.1063829787234036</v>
      </c>
      <c r="BZ290" s="97">
        <f t="shared" si="222"/>
        <v>2.7260638297872336E-3</v>
      </c>
      <c r="CA290" s="95">
        <f t="shared" si="223"/>
        <v>0.15618467937474034</v>
      </c>
      <c r="CB290" s="99">
        <f t="shared" si="243"/>
        <v>240.57102986366334</v>
      </c>
      <c r="CC290" s="99">
        <f t="shared" si="243"/>
        <v>29.457677126162856</v>
      </c>
      <c r="CD290" s="100">
        <f t="shared" si="224"/>
        <v>795.26421761495169</v>
      </c>
      <c r="CE290" s="100">
        <f t="shared" si="239"/>
        <v>838.84959900338902</v>
      </c>
      <c r="CF290" s="100">
        <f t="shared" si="225"/>
        <v>42.672913116337341</v>
      </c>
      <c r="CG290" s="96">
        <f t="shared" si="240"/>
        <v>1.1649920679533325</v>
      </c>
      <c r="CH290" s="96">
        <f t="shared" si="214"/>
        <v>0.53704644950328773</v>
      </c>
      <c r="CJ290" s="95">
        <f t="shared" si="245"/>
        <v>0.10126582278481014</v>
      </c>
      <c r="CK290" s="93">
        <f t="shared" si="226"/>
        <v>46.895424836601308</v>
      </c>
      <c r="CL290" s="93">
        <f t="shared" si="227"/>
        <v>4.3157894736842106</v>
      </c>
      <c r="CM290" s="93">
        <f t="shared" si="228"/>
        <v>10.06423982869379</v>
      </c>
      <c r="CN290" s="93">
        <f t="shared" si="229"/>
        <v>63.398692810457511</v>
      </c>
      <c r="CO290" s="93">
        <f t="shared" si="230"/>
        <v>20.344827586206893</v>
      </c>
      <c r="CP290" s="93">
        <f t="shared" si="231"/>
        <v>267.63990267639906</v>
      </c>
      <c r="CQ290" s="93">
        <f t="shared" si="232"/>
        <v>406.4171122994652</v>
      </c>
      <c r="CR290" s="93">
        <f t="shared" si="233"/>
        <v>779.5275590551181</v>
      </c>
      <c r="CS290" s="93">
        <f t="shared" si="234"/>
        <v>1272.0848056537102</v>
      </c>
      <c r="CT290" s="93">
        <f t="shared" si="235"/>
        <v>2072.5075528700904</v>
      </c>
      <c r="CU290" s="93">
        <f t="shared" si="236"/>
        <v>2615.6862745098042</v>
      </c>
      <c r="CV290" s="93">
        <f t="shared" si="237"/>
        <v>3394.1176470588234</v>
      </c>
      <c r="CW290" s="93">
        <f t="shared" si="238"/>
        <v>4133.8582677165359</v>
      </c>
    </row>
    <row r="291" spans="1:101" s="98" customFormat="1">
      <c r="A291" s="3" t="s">
        <v>505</v>
      </c>
      <c r="B291" s="3" t="s">
        <v>268</v>
      </c>
      <c r="C291" s="3"/>
      <c r="D291" s="93">
        <v>6.3956</v>
      </c>
      <c r="E291" s="94">
        <v>0.18359</v>
      </c>
      <c r="F291" s="94">
        <v>8.9999999999999998E-4</v>
      </c>
      <c r="G291" s="95">
        <v>13.500999999999999</v>
      </c>
      <c r="H291" s="96">
        <v>0.33</v>
      </c>
      <c r="I291" s="97">
        <v>0.53420000000000001</v>
      </c>
      <c r="J291" s="95">
        <v>1.2E-2</v>
      </c>
      <c r="K291" s="96">
        <v>0.54971999999999999</v>
      </c>
      <c r="M291" s="99">
        <v>2759.1</v>
      </c>
      <c r="N291" s="98">
        <v>49</v>
      </c>
      <c r="O291" s="99">
        <v>2684.7</v>
      </c>
      <c r="P291" s="98">
        <v>3</v>
      </c>
      <c r="Q291" s="93">
        <v>-2.77</v>
      </c>
      <c r="R291" s="97">
        <v>0</v>
      </c>
      <c r="T291" s="98">
        <v>510</v>
      </c>
      <c r="U291" s="98">
        <v>160</v>
      </c>
      <c r="V291" s="98">
        <v>7.0000000000000007E-2</v>
      </c>
      <c r="W291" s="98">
        <v>0.89</v>
      </c>
      <c r="X291" s="98">
        <v>0.2</v>
      </c>
      <c r="Y291" s="98">
        <v>0.18</v>
      </c>
      <c r="Z291" s="98">
        <v>3.84</v>
      </c>
      <c r="AA291" s="98">
        <v>0.7</v>
      </c>
      <c r="AB291" s="98">
        <v>0.95</v>
      </c>
      <c r="AC291" s="98">
        <v>0.45</v>
      </c>
      <c r="AD291" s="98">
        <v>1050</v>
      </c>
      <c r="AE291" s="98">
        <v>140</v>
      </c>
      <c r="AF291" s="95">
        <v>0.16</v>
      </c>
      <c r="AG291" s="97">
        <v>5.5E-2</v>
      </c>
      <c r="AH291" s="96">
        <v>19.2</v>
      </c>
      <c r="AI291" s="96">
        <v>1.6</v>
      </c>
      <c r="AJ291" s="95">
        <v>0.125</v>
      </c>
      <c r="AK291" s="95">
        <v>4.7E-2</v>
      </c>
      <c r="AL291" s="96">
        <v>1.89</v>
      </c>
      <c r="AM291" s="96">
        <v>0.74</v>
      </c>
      <c r="AN291" s="96">
        <v>4.5999999999999996</v>
      </c>
      <c r="AO291" s="96">
        <v>1.5</v>
      </c>
      <c r="AP291" s="96">
        <v>0.92</v>
      </c>
      <c r="AQ291" s="96">
        <v>0.31</v>
      </c>
      <c r="AR291" s="96">
        <v>22</v>
      </c>
      <c r="AS291" s="93">
        <v>5.8</v>
      </c>
      <c r="AT291" s="96">
        <v>6.9</v>
      </c>
      <c r="AU291" s="96">
        <v>1.1000000000000001</v>
      </c>
      <c r="AV291" s="99">
        <v>78.400000000000006</v>
      </c>
      <c r="AW291" s="98">
        <v>7</v>
      </c>
      <c r="AX291" s="98">
        <v>31.8</v>
      </c>
      <c r="AY291" s="98">
        <v>3.3</v>
      </c>
      <c r="AZ291" s="98">
        <v>152</v>
      </c>
      <c r="BA291" s="98">
        <v>15</v>
      </c>
      <c r="BB291" s="98">
        <v>32.299999999999997</v>
      </c>
      <c r="BC291" s="98">
        <v>3.4</v>
      </c>
      <c r="BD291" s="98">
        <v>287</v>
      </c>
      <c r="BE291" s="98">
        <v>28</v>
      </c>
      <c r="BF291" s="98">
        <v>59</v>
      </c>
      <c r="BG291" s="98">
        <v>6.1</v>
      </c>
      <c r="BI291" s="93">
        <v>16.600000000000001</v>
      </c>
      <c r="BJ291" s="98">
        <v>3.9</v>
      </c>
      <c r="BK291" s="98">
        <v>494000</v>
      </c>
      <c r="BL291" s="98">
        <v>40000</v>
      </c>
      <c r="BM291" s="98">
        <v>9900</v>
      </c>
      <c r="BN291" s="98">
        <v>1200</v>
      </c>
      <c r="BO291" s="99">
        <v>56</v>
      </c>
      <c r="BP291" s="98">
        <v>8.4</v>
      </c>
      <c r="BQ291" s="99">
        <v>80</v>
      </c>
      <c r="BR291" s="98">
        <v>11</v>
      </c>
      <c r="BT291" s="95">
        <f t="shared" si="217"/>
        <v>0.27874564459930312</v>
      </c>
      <c r="BU291" s="96">
        <f t="shared" si="218"/>
        <v>10.158730158730158</v>
      </c>
      <c r="BV291" s="96">
        <f t="shared" si="219"/>
        <v>49.898989898989896</v>
      </c>
      <c r="BW291" s="96">
        <f t="shared" si="220"/>
        <v>0.7</v>
      </c>
      <c r="BX291" s="99">
        <f t="shared" si="244"/>
        <v>33.286703255356329</v>
      </c>
      <c r="BY291" s="96">
        <f t="shared" si="221"/>
        <v>10.158730158730158</v>
      </c>
      <c r="BZ291" s="97">
        <f t="shared" si="222"/>
        <v>9.674981103552532E-3</v>
      </c>
      <c r="CA291" s="95">
        <f t="shared" si="223"/>
        <v>0.27958972443438668</v>
      </c>
      <c r="CB291" s="99">
        <f t="shared" si="243"/>
        <v>130.92300944961269</v>
      </c>
      <c r="CC291" s="99">
        <f t="shared" si="243"/>
        <v>18.001913799321745</v>
      </c>
      <c r="CD291" s="100">
        <f t="shared" si="224"/>
        <v>826.26628029792039</v>
      </c>
      <c r="CE291" s="100">
        <f t="shared" si="239"/>
        <v>872.47248014212062</v>
      </c>
      <c r="CF291" s="100">
        <f t="shared" si="225"/>
        <v>30.768924319003638</v>
      </c>
      <c r="CG291" s="96">
        <f t="shared" si="240"/>
        <v>0.74280938754429915</v>
      </c>
      <c r="CH291" s="96">
        <f t="shared" si="214"/>
        <v>0.39195960874687641</v>
      </c>
      <c r="CJ291" s="95">
        <f t="shared" si="245"/>
        <v>0.67510548523206759</v>
      </c>
      <c r="CK291" s="93">
        <f t="shared" si="226"/>
        <v>31.372549019607842</v>
      </c>
      <c r="CL291" s="93">
        <f t="shared" si="227"/>
        <v>1.3157894736842106</v>
      </c>
      <c r="CM291" s="93">
        <f t="shared" si="228"/>
        <v>4.0471092077087789</v>
      </c>
      <c r="CN291" s="93">
        <f t="shared" si="229"/>
        <v>30.065359477124183</v>
      </c>
      <c r="CO291" s="93">
        <f t="shared" si="230"/>
        <v>15.862068965517242</v>
      </c>
      <c r="CP291" s="93">
        <f t="shared" si="231"/>
        <v>107.05596107055962</v>
      </c>
      <c r="CQ291" s="93">
        <f t="shared" si="232"/>
        <v>184.49197860962568</v>
      </c>
      <c r="CR291" s="93">
        <f t="shared" si="233"/>
        <v>308.66141732283467</v>
      </c>
      <c r="CS291" s="93">
        <f t="shared" si="234"/>
        <v>561.83745583038876</v>
      </c>
      <c r="CT291" s="93">
        <f t="shared" si="235"/>
        <v>918.42900302114799</v>
      </c>
      <c r="CU291" s="93">
        <f t="shared" si="236"/>
        <v>1266.6666666666667</v>
      </c>
      <c r="CV291" s="93">
        <f t="shared" si="237"/>
        <v>1688.2352941176468</v>
      </c>
      <c r="CW291" s="93">
        <f t="shared" si="238"/>
        <v>2322.8346456692916</v>
      </c>
    </row>
    <row r="292" spans="1:101" s="98" customFormat="1">
      <c r="A292" s="3" t="s">
        <v>506</v>
      </c>
      <c r="B292" s="3" t="s">
        <v>268</v>
      </c>
      <c r="C292" s="3"/>
      <c r="D292" s="93">
        <v>5.5442</v>
      </c>
      <c r="E292" s="94">
        <v>0.18343999999999999</v>
      </c>
      <c r="F292" s="94">
        <v>9.1E-4</v>
      </c>
      <c r="G292" s="95">
        <v>13.004</v>
      </c>
      <c r="H292" s="96">
        <v>0.32</v>
      </c>
      <c r="I292" s="97">
        <v>0.5151</v>
      </c>
      <c r="J292" s="95">
        <v>1.0999999999999999E-2</v>
      </c>
      <c r="K292" s="96">
        <v>0.67313999999999996</v>
      </c>
      <c r="M292" s="99">
        <v>2678.2</v>
      </c>
      <c r="N292" s="98">
        <v>48</v>
      </c>
      <c r="O292" s="99">
        <v>2684.3</v>
      </c>
      <c r="P292" s="98">
        <v>6.4</v>
      </c>
      <c r="Q292" s="93">
        <v>0.22</v>
      </c>
      <c r="R292" s="97">
        <v>1.4400000000000001E-3</v>
      </c>
      <c r="T292" s="98">
        <v>900</v>
      </c>
      <c r="U292" s="98">
        <v>270</v>
      </c>
      <c r="V292" s="98">
        <v>0.6</v>
      </c>
      <c r="W292" s="98">
        <v>2</v>
      </c>
      <c r="X292" s="98">
        <v>0.53</v>
      </c>
      <c r="Y292" s="98">
        <v>0.49</v>
      </c>
      <c r="Z292" s="98">
        <v>4.55</v>
      </c>
      <c r="AA292" s="98">
        <v>0.84</v>
      </c>
      <c r="AB292" s="98">
        <v>1.54</v>
      </c>
      <c r="AC292" s="98">
        <v>0.7</v>
      </c>
      <c r="AD292" s="98">
        <v>4110</v>
      </c>
      <c r="AE292" s="98">
        <v>470</v>
      </c>
      <c r="AF292" s="95">
        <v>0.14799999999999999</v>
      </c>
      <c r="AG292" s="97">
        <v>4.3999999999999997E-2</v>
      </c>
      <c r="AH292" s="96">
        <v>51.5</v>
      </c>
      <c r="AI292" s="96">
        <v>4.4000000000000004</v>
      </c>
      <c r="AJ292" s="95">
        <v>0.66</v>
      </c>
      <c r="AK292" s="95">
        <v>0.2</v>
      </c>
      <c r="AL292" s="96">
        <v>11.7</v>
      </c>
      <c r="AM292" s="96">
        <v>2.2999999999999998</v>
      </c>
      <c r="AN292" s="96">
        <v>26.7</v>
      </c>
      <c r="AO292" s="96">
        <v>4.0999999999999996</v>
      </c>
      <c r="AP292" s="96">
        <v>5.49</v>
      </c>
      <c r="AQ292" s="96">
        <v>0.98</v>
      </c>
      <c r="AR292" s="96">
        <v>136</v>
      </c>
      <c r="AS292" s="93">
        <v>12</v>
      </c>
      <c r="AT292" s="96">
        <v>40</v>
      </c>
      <c r="AU292" s="96">
        <v>3.8</v>
      </c>
      <c r="AV292" s="99">
        <v>453</v>
      </c>
      <c r="AW292" s="98">
        <v>43</v>
      </c>
      <c r="AX292" s="98">
        <v>146</v>
      </c>
      <c r="AY292" s="98">
        <v>13</v>
      </c>
      <c r="AZ292" s="98">
        <v>645</v>
      </c>
      <c r="BA292" s="98">
        <v>65</v>
      </c>
      <c r="BB292" s="98">
        <v>113</v>
      </c>
      <c r="BC292" s="98">
        <v>11</v>
      </c>
      <c r="BD292" s="98">
        <v>917</v>
      </c>
      <c r="BE292" s="98">
        <v>92</v>
      </c>
      <c r="BF292" s="98">
        <v>168</v>
      </c>
      <c r="BG292" s="98">
        <v>16</v>
      </c>
      <c r="BI292" s="93">
        <v>9.3000000000000007</v>
      </c>
      <c r="BJ292" s="98">
        <v>2.8</v>
      </c>
      <c r="BK292" s="98">
        <v>512000</v>
      </c>
      <c r="BL292" s="98">
        <v>66000</v>
      </c>
      <c r="BM292" s="98">
        <v>9410</v>
      </c>
      <c r="BN292" s="98">
        <v>880</v>
      </c>
      <c r="BO292" s="99">
        <v>249</v>
      </c>
      <c r="BP292" s="98">
        <v>17</v>
      </c>
      <c r="BQ292" s="99">
        <v>181</v>
      </c>
      <c r="BR292" s="98">
        <v>13</v>
      </c>
      <c r="BT292" s="95">
        <f t="shared" si="217"/>
        <v>0.19738276990185388</v>
      </c>
      <c r="BU292" s="96">
        <f t="shared" si="218"/>
        <v>4.4017094017094021</v>
      </c>
      <c r="BV292" s="96">
        <f t="shared" si="219"/>
        <v>54.41020191285866</v>
      </c>
      <c r="BW292" s="96">
        <f t="shared" si="220"/>
        <v>1.3756906077348066</v>
      </c>
      <c r="BX292" s="99">
        <f t="shared" si="244"/>
        <v>40.400706244549731</v>
      </c>
      <c r="BY292" s="96">
        <f t="shared" si="221"/>
        <v>4.4017094017094021</v>
      </c>
      <c r="BZ292" s="97">
        <f t="shared" si="222"/>
        <v>1.0709755235302682E-3</v>
      </c>
      <c r="CA292" s="95">
        <f t="shared" si="223"/>
        <v>0.27852930438785839</v>
      </c>
      <c r="CB292" s="99">
        <f t="shared" si="243"/>
        <v>296.21330887974875</v>
      </c>
      <c r="CC292" s="99">
        <f t="shared" si="243"/>
        <v>21.274989035562065</v>
      </c>
      <c r="CD292" s="100">
        <f t="shared" si="224"/>
        <v>766.35592122629635</v>
      </c>
      <c r="CE292" s="100">
        <f t="shared" si="239"/>
        <v>807.56912395898837</v>
      </c>
      <c r="CF292" s="100">
        <f t="shared" si="225"/>
        <v>34.254523662744099</v>
      </c>
      <c r="CG292" s="96">
        <f t="shared" si="240"/>
        <v>2.2471362493512022</v>
      </c>
      <c r="CH292" s="96">
        <f t="shared" si="214"/>
        <v>0.4232339283395517</v>
      </c>
      <c r="CJ292" s="95">
        <f t="shared" si="245"/>
        <v>0.62447257383966248</v>
      </c>
      <c r="CK292" s="93">
        <f t="shared" si="226"/>
        <v>84.150326797385617</v>
      </c>
      <c r="CL292" s="93">
        <f t="shared" si="227"/>
        <v>6.9473684210526319</v>
      </c>
      <c r="CM292" s="93">
        <f t="shared" si="228"/>
        <v>25.053533190578154</v>
      </c>
      <c r="CN292" s="93">
        <f t="shared" si="229"/>
        <v>174.50980392156862</v>
      </c>
      <c r="CO292" s="93">
        <f t="shared" si="230"/>
        <v>94.655172413793096</v>
      </c>
      <c r="CP292" s="93">
        <f t="shared" si="231"/>
        <v>661.80048661800492</v>
      </c>
      <c r="CQ292" s="93">
        <f t="shared" si="232"/>
        <v>1069.5187165775401</v>
      </c>
      <c r="CR292" s="93">
        <f t="shared" si="233"/>
        <v>1783.4645669291338</v>
      </c>
      <c r="CS292" s="93">
        <f t="shared" si="234"/>
        <v>2579.5053003533571</v>
      </c>
      <c r="CT292" s="93">
        <f t="shared" si="235"/>
        <v>3897.2809667673714</v>
      </c>
      <c r="CU292" s="93">
        <f t="shared" si="236"/>
        <v>4431.3725490196084</v>
      </c>
      <c r="CV292" s="93">
        <f t="shared" si="237"/>
        <v>5394.1176470588234</v>
      </c>
      <c r="CW292" s="93">
        <f t="shared" si="238"/>
        <v>6614.1732283464571</v>
      </c>
    </row>
    <row r="293" spans="1:101" s="98" customFormat="1">
      <c r="A293" s="3" t="s">
        <v>507</v>
      </c>
      <c r="B293" s="3" t="s">
        <v>268</v>
      </c>
      <c r="C293" s="3"/>
      <c r="D293" s="93">
        <v>5.9196999999999997</v>
      </c>
      <c r="E293" s="94">
        <v>0.18479999999999999</v>
      </c>
      <c r="F293" s="94">
        <v>1.1999999999999999E-3</v>
      </c>
      <c r="G293" s="95">
        <v>14.65</v>
      </c>
      <c r="H293" s="96">
        <v>0.37</v>
      </c>
      <c r="I293" s="97">
        <v>0.57589999999999997</v>
      </c>
      <c r="J293" s="95">
        <v>1.2999999999999999E-2</v>
      </c>
      <c r="K293" s="96">
        <v>0.70948</v>
      </c>
      <c r="M293" s="99">
        <v>2932</v>
      </c>
      <c r="N293" s="98">
        <v>51</v>
      </c>
      <c r="O293" s="99">
        <v>2696.8</v>
      </c>
      <c r="P293" s="98">
        <v>4.0999999999999996</v>
      </c>
      <c r="Q293" s="93">
        <v>-8.7200000000000006</v>
      </c>
      <c r="R293" s="97">
        <v>0</v>
      </c>
      <c r="T293" s="98">
        <v>310</v>
      </c>
      <c r="U293" s="98">
        <v>230</v>
      </c>
      <c r="V293" s="98">
        <v>1.5</v>
      </c>
      <c r="W293" s="98">
        <v>1.4</v>
      </c>
      <c r="X293" s="98">
        <v>1.97</v>
      </c>
      <c r="Y293" s="98">
        <v>0.99</v>
      </c>
      <c r="Z293" s="98">
        <v>3.87</v>
      </c>
      <c r="AA293" s="98">
        <v>0.82</v>
      </c>
      <c r="AB293" s="98">
        <v>0.97</v>
      </c>
      <c r="AC293" s="98">
        <v>0.32</v>
      </c>
      <c r="AD293" s="98">
        <v>843</v>
      </c>
      <c r="AE293" s="98">
        <v>92</v>
      </c>
      <c r="AF293" s="95">
        <v>0.57599999999999996</v>
      </c>
      <c r="AG293" s="97">
        <v>6.4000000000000001E-2</v>
      </c>
      <c r="AH293" s="96">
        <v>23.4</v>
      </c>
      <c r="AI293" s="96">
        <v>3.9</v>
      </c>
      <c r="AJ293" s="95">
        <v>0.48899999999999999</v>
      </c>
      <c r="AK293" s="95">
        <v>9.2999999999999999E-2</v>
      </c>
      <c r="AL293" s="96">
        <v>5.7</v>
      </c>
      <c r="AM293" s="96">
        <v>1.7</v>
      </c>
      <c r="AN293" s="96">
        <v>5.4</v>
      </c>
      <c r="AO293" s="96">
        <v>1.3</v>
      </c>
      <c r="AP293" s="96">
        <v>0.86</v>
      </c>
      <c r="AQ293" s="96">
        <v>0.26</v>
      </c>
      <c r="AR293" s="96">
        <v>16.899999999999999</v>
      </c>
      <c r="AS293" s="93">
        <v>4.3</v>
      </c>
      <c r="AT293" s="96">
        <v>5.4</v>
      </c>
      <c r="AU293" s="96">
        <v>1</v>
      </c>
      <c r="AV293" s="99">
        <v>65.599999999999994</v>
      </c>
      <c r="AW293" s="98">
        <v>9.6999999999999993</v>
      </c>
      <c r="AX293" s="98">
        <v>26.3</v>
      </c>
      <c r="AY293" s="98">
        <v>2.7</v>
      </c>
      <c r="AZ293" s="98">
        <v>123</v>
      </c>
      <c r="BA293" s="98">
        <v>14</v>
      </c>
      <c r="BB293" s="98">
        <v>27.1</v>
      </c>
      <c r="BC293" s="98">
        <v>2.7</v>
      </c>
      <c r="BD293" s="98">
        <v>268</v>
      </c>
      <c r="BE293" s="98">
        <v>28</v>
      </c>
      <c r="BF293" s="98">
        <v>55.5</v>
      </c>
      <c r="BG293" s="98">
        <v>4.2</v>
      </c>
      <c r="BI293" s="93">
        <v>8.1999999999999993</v>
      </c>
      <c r="BJ293" s="98">
        <v>4.5999999999999996</v>
      </c>
      <c r="BK293" s="98">
        <v>437000</v>
      </c>
      <c r="BL293" s="98">
        <v>49000</v>
      </c>
      <c r="BM293" s="98">
        <v>9700</v>
      </c>
      <c r="BN293" s="98">
        <v>1300</v>
      </c>
      <c r="BO293" s="99">
        <v>75.3</v>
      </c>
      <c r="BP293" s="98">
        <v>5.5</v>
      </c>
      <c r="BQ293" s="99">
        <v>120.8</v>
      </c>
      <c r="BR293" s="98">
        <v>8.6</v>
      </c>
      <c r="BT293" s="95">
        <f t="shared" si="217"/>
        <v>0.45074626865671641</v>
      </c>
      <c r="BU293" s="96">
        <f t="shared" si="218"/>
        <v>4.1052631578947363</v>
      </c>
      <c r="BV293" s="96">
        <f t="shared" si="219"/>
        <v>45.051546391752581</v>
      </c>
      <c r="BW293" s="96">
        <f t="shared" si="220"/>
        <v>0.62334437086092709</v>
      </c>
      <c r="BX293" s="99">
        <f t="shared" si="244"/>
        <v>10.810225158049372</v>
      </c>
      <c r="BY293" s="96">
        <f t="shared" si="221"/>
        <v>4.1052631578947363</v>
      </c>
      <c r="BZ293" s="97">
        <f t="shared" si="222"/>
        <v>4.8698258100767925E-3</v>
      </c>
      <c r="CA293" s="95">
        <f t="shared" si="223"/>
        <v>0.27522118091065628</v>
      </c>
      <c r="CB293" s="99">
        <f t="shared" si="243"/>
        <v>197.69374426891517</v>
      </c>
      <c r="CC293" s="99">
        <f t="shared" si="243"/>
        <v>14.074223515833365</v>
      </c>
      <c r="CD293" s="100">
        <f t="shared" si="224"/>
        <v>754.19285617902563</v>
      </c>
      <c r="CE293" s="100">
        <f t="shared" si="239"/>
        <v>794.4285799645246</v>
      </c>
      <c r="CF293" s="100">
        <f t="shared" si="225"/>
        <v>59.660633132177821</v>
      </c>
      <c r="CG293" s="96">
        <f t="shared" si="240"/>
        <v>1.3396067463681285</v>
      </c>
      <c r="CH293" s="96">
        <f t="shared" si="214"/>
        <v>0.676580390229784</v>
      </c>
      <c r="CJ293" s="95">
        <f t="shared" si="245"/>
        <v>2.4303797468354431</v>
      </c>
      <c r="CK293" s="93">
        <f t="shared" si="226"/>
        <v>38.235294117647058</v>
      </c>
      <c r="CL293" s="93">
        <f t="shared" si="227"/>
        <v>5.1473684210526311</v>
      </c>
      <c r="CM293" s="93">
        <f t="shared" si="228"/>
        <v>12.205567451820128</v>
      </c>
      <c r="CN293" s="93">
        <f t="shared" si="229"/>
        <v>35.294117647058826</v>
      </c>
      <c r="CO293" s="93">
        <f t="shared" si="230"/>
        <v>14.827586206896552</v>
      </c>
      <c r="CP293" s="93">
        <f t="shared" si="231"/>
        <v>82.238442822384428</v>
      </c>
      <c r="CQ293" s="93">
        <f t="shared" si="232"/>
        <v>144.38502673796791</v>
      </c>
      <c r="CR293" s="93">
        <f t="shared" si="233"/>
        <v>258.26771653543307</v>
      </c>
      <c r="CS293" s="93">
        <f t="shared" si="234"/>
        <v>464.66431095406364</v>
      </c>
      <c r="CT293" s="93">
        <f t="shared" si="235"/>
        <v>743.20241691842898</v>
      </c>
      <c r="CU293" s="93">
        <f t="shared" si="236"/>
        <v>1062.7450980392159</v>
      </c>
      <c r="CV293" s="93">
        <f t="shared" si="237"/>
        <v>1576.4705882352939</v>
      </c>
      <c r="CW293" s="93">
        <f t="shared" si="238"/>
        <v>2185.0393700787404</v>
      </c>
    </row>
    <row r="294" spans="1:101" s="98" customFormat="1">
      <c r="A294" s="3" t="s">
        <v>508</v>
      </c>
      <c r="B294" s="3" t="s">
        <v>268</v>
      </c>
      <c r="C294" s="3"/>
      <c r="D294" s="93">
        <v>7.0890000000000004</v>
      </c>
      <c r="E294" s="94">
        <v>0.18509999999999999</v>
      </c>
      <c r="F294" s="94">
        <v>1.1000000000000001E-3</v>
      </c>
      <c r="G294" s="95">
        <v>14.3</v>
      </c>
      <c r="H294" s="96">
        <v>0.36</v>
      </c>
      <c r="I294" s="97">
        <v>0.56120000000000003</v>
      </c>
      <c r="J294" s="95">
        <v>1.2E-2</v>
      </c>
      <c r="K294" s="96">
        <v>0.68889999999999996</v>
      </c>
      <c r="M294" s="99">
        <v>2872</v>
      </c>
      <c r="N294" s="98">
        <v>51</v>
      </c>
      <c r="O294" s="99">
        <v>2700</v>
      </c>
      <c r="P294" s="98">
        <v>5</v>
      </c>
      <c r="Q294" s="93">
        <v>-6.36</v>
      </c>
      <c r="R294" s="97">
        <v>0</v>
      </c>
      <c r="T294" s="98">
        <v>300</v>
      </c>
      <c r="U294" s="98">
        <v>150</v>
      </c>
      <c r="V294" s="98">
        <v>0.21</v>
      </c>
      <c r="W294" s="98">
        <v>0.85</v>
      </c>
      <c r="X294" s="98" t="s">
        <v>250</v>
      </c>
      <c r="Y294" s="98" t="s">
        <v>250</v>
      </c>
      <c r="Z294" s="98">
        <v>5.0999999999999996</v>
      </c>
      <c r="AA294" s="98">
        <v>1.5</v>
      </c>
      <c r="AB294" s="98">
        <v>1.57</v>
      </c>
      <c r="AC294" s="98">
        <v>0.35</v>
      </c>
      <c r="AD294" s="98">
        <v>1075</v>
      </c>
      <c r="AE294" s="98">
        <v>88</v>
      </c>
      <c r="AF294" s="95">
        <v>0.128</v>
      </c>
      <c r="AG294" s="97">
        <v>3.9E-2</v>
      </c>
      <c r="AH294" s="96">
        <v>22.3</v>
      </c>
      <c r="AI294" s="96">
        <v>2.9</v>
      </c>
      <c r="AJ294" s="95">
        <v>8.5000000000000006E-2</v>
      </c>
      <c r="AK294" s="95">
        <v>3.3000000000000002E-2</v>
      </c>
      <c r="AL294" s="96">
        <v>1.71</v>
      </c>
      <c r="AM294" s="96">
        <v>0.43</v>
      </c>
      <c r="AN294" s="96">
        <v>2.57</v>
      </c>
      <c r="AO294" s="96">
        <v>0.79</v>
      </c>
      <c r="AP294" s="96">
        <v>0.23</v>
      </c>
      <c r="AQ294" s="96">
        <v>0.11</v>
      </c>
      <c r="AR294" s="96">
        <v>14</v>
      </c>
      <c r="AS294" s="93">
        <v>3</v>
      </c>
      <c r="AT294" s="96">
        <v>6.5</v>
      </c>
      <c r="AU294" s="96">
        <v>1</v>
      </c>
      <c r="AV294" s="99">
        <v>79.5</v>
      </c>
      <c r="AW294" s="98">
        <v>8</v>
      </c>
      <c r="AX294" s="98">
        <v>32.700000000000003</v>
      </c>
      <c r="AY294" s="98">
        <v>3.4</v>
      </c>
      <c r="AZ294" s="98">
        <v>166</v>
      </c>
      <c r="BA294" s="98">
        <v>14</v>
      </c>
      <c r="BB294" s="98">
        <v>37.1</v>
      </c>
      <c r="BC294" s="98">
        <v>3.9</v>
      </c>
      <c r="BD294" s="98">
        <v>355</v>
      </c>
      <c r="BE294" s="98">
        <v>39</v>
      </c>
      <c r="BF294" s="98">
        <v>79.2</v>
      </c>
      <c r="BG294" s="98">
        <v>7.9</v>
      </c>
      <c r="BI294" s="93">
        <v>8.3000000000000007</v>
      </c>
      <c r="BJ294" s="98">
        <v>2.1</v>
      </c>
      <c r="BK294" s="98">
        <v>501000</v>
      </c>
      <c r="BL294" s="98">
        <v>37000</v>
      </c>
      <c r="BM294" s="98">
        <v>10900</v>
      </c>
      <c r="BN294" s="98">
        <v>1100</v>
      </c>
      <c r="BO294" s="99">
        <v>106.5</v>
      </c>
      <c r="BP294" s="98">
        <v>9.8000000000000007</v>
      </c>
      <c r="BQ294" s="99">
        <v>161</v>
      </c>
      <c r="BR294" s="98">
        <v>15</v>
      </c>
      <c r="BT294" s="95">
        <f t="shared" si="217"/>
        <v>0.45352112676056339</v>
      </c>
      <c r="BU294" s="96">
        <f t="shared" si="218"/>
        <v>13.040935672514621</v>
      </c>
      <c r="BV294" s="96">
        <f t="shared" si="219"/>
        <v>45.963302752293579</v>
      </c>
      <c r="BW294" s="96">
        <f t="shared" si="220"/>
        <v>0.66149068322981364</v>
      </c>
      <c r="BX294" s="99">
        <f t="shared" si="244"/>
        <v>52.417338872076144</v>
      </c>
      <c r="BY294" s="96">
        <f t="shared" si="221"/>
        <v>13.040935672514621</v>
      </c>
      <c r="BZ294" s="97">
        <f t="shared" si="222"/>
        <v>1.2131102951176392E-2</v>
      </c>
      <c r="CA294" s="95">
        <f t="shared" si="223"/>
        <v>0.11722517546301479</v>
      </c>
      <c r="CB294" s="99">
        <f t="shared" si="243"/>
        <v>263.48255651734559</v>
      </c>
      <c r="CC294" s="99">
        <f t="shared" si="243"/>
        <v>24.548064271802382</v>
      </c>
      <c r="CD294" s="100">
        <f t="shared" si="224"/>
        <v>755.35167316018544</v>
      </c>
      <c r="CE294" s="100">
        <f t="shared" si="239"/>
        <v>795.67999949672628</v>
      </c>
      <c r="CF294" s="100">
        <f t="shared" si="225"/>
        <v>28.921561373668695</v>
      </c>
      <c r="CG294" s="96">
        <f t="shared" si="240"/>
        <v>0.99677563129432678</v>
      </c>
      <c r="CH294" s="96">
        <f t="shared" si="214"/>
        <v>0.41089000563871247</v>
      </c>
      <c r="CJ294" s="95">
        <f t="shared" si="245"/>
        <v>0.54008438818565407</v>
      </c>
      <c r="CK294" s="93">
        <f t="shared" si="226"/>
        <v>36.437908496732028</v>
      </c>
      <c r="CL294" s="93">
        <f t="shared" si="227"/>
        <v>0.89473684210526316</v>
      </c>
      <c r="CM294" s="93">
        <f t="shared" si="228"/>
        <v>3.6616702355460382</v>
      </c>
      <c r="CN294" s="93">
        <f t="shared" si="229"/>
        <v>16.797385620915033</v>
      </c>
      <c r="CO294" s="93">
        <f t="shared" si="230"/>
        <v>3.9655172413793105</v>
      </c>
      <c r="CP294" s="93">
        <f t="shared" si="231"/>
        <v>68.126520681265205</v>
      </c>
      <c r="CQ294" s="93">
        <f t="shared" si="232"/>
        <v>173.79679144385025</v>
      </c>
      <c r="CR294" s="93">
        <f t="shared" si="233"/>
        <v>312.99212598425197</v>
      </c>
      <c r="CS294" s="93">
        <f t="shared" si="234"/>
        <v>577.73851590106017</v>
      </c>
      <c r="CT294" s="93">
        <f t="shared" si="235"/>
        <v>1003.0211480362537</v>
      </c>
      <c r="CU294" s="93">
        <f t="shared" si="236"/>
        <v>1454.9019607843138</v>
      </c>
      <c r="CV294" s="93">
        <f t="shared" si="237"/>
        <v>2088.2352941176468</v>
      </c>
      <c r="CW294" s="93">
        <f t="shared" si="238"/>
        <v>3118.1102362204729</v>
      </c>
    </row>
    <row r="295" spans="1:101" s="98" customFormat="1">
      <c r="A295" s="3" t="s">
        <v>509</v>
      </c>
      <c r="B295" s="3" t="s">
        <v>268</v>
      </c>
      <c r="C295" s="3"/>
      <c r="D295" s="93">
        <v>5.7510000000000003</v>
      </c>
      <c r="E295" s="94">
        <v>0.18390000000000001</v>
      </c>
      <c r="F295" s="94">
        <v>1.2999999999999999E-3</v>
      </c>
      <c r="G295" s="95">
        <v>12.99</v>
      </c>
      <c r="H295" s="96">
        <v>0.33</v>
      </c>
      <c r="I295" s="97">
        <v>0.51300000000000001</v>
      </c>
      <c r="J295" s="95">
        <v>1.0999999999999999E-2</v>
      </c>
      <c r="K295" s="96">
        <v>0.57616000000000001</v>
      </c>
      <c r="M295" s="99">
        <v>2670</v>
      </c>
      <c r="N295" s="98">
        <v>48</v>
      </c>
      <c r="O295" s="99">
        <v>2688.5</v>
      </c>
      <c r="P295" s="98">
        <v>6.8</v>
      </c>
      <c r="Q295" s="93">
        <v>0.7</v>
      </c>
      <c r="R295" s="97">
        <v>3.0000000000000001E-3</v>
      </c>
      <c r="T295" s="98">
        <v>440</v>
      </c>
      <c r="U295" s="98">
        <v>210</v>
      </c>
      <c r="V295" s="98" t="s">
        <v>250</v>
      </c>
      <c r="W295" s="98" t="s">
        <v>250</v>
      </c>
      <c r="X295" s="98">
        <v>0.24</v>
      </c>
      <c r="Y295" s="98">
        <v>0.23</v>
      </c>
      <c r="Z295" s="98">
        <v>2.5</v>
      </c>
      <c r="AA295" s="98">
        <v>0.68</v>
      </c>
      <c r="AB295" s="98">
        <v>1.4</v>
      </c>
      <c r="AC295" s="98">
        <v>0.57999999999999996</v>
      </c>
      <c r="AD295" s="98">
        <v>766</v>
      </c>
      <c r="AE295" s="98">
        <v>65</v>
      </c>
      <c r="AF295" s="95">
        <v>0.29599999999999999</v>
      </c>
      <c r="AG295" s="97">
        <v>0.09</v>
      </c>
      <c r="AH295" s="96">
        <v>16.3</v>
      </c>
      <c r="AI295" s="96">
        <v>2.5</v>
      </c>
      <c r="AJ295" s="95">
        <v>0.20599999999999999</v>
      </c>
      <c r="AK295" s="95">
        <v>7.9000000000000001E-2</v>
      </c>
      <c r="AL295" s="96">
        <v>2.16</v>
      </c>
      <c r="AM295" s="96">
        <v>0.72</v>
      </c>
      <c r="AN295" s="96">
        <v>3.3</v>
      </c>
      <c r="AO295" s="96">
        <v>1.1000000000000001</v>
      </c>
      <c r="AP295" s="96">
        <v>0.36</v>
      </c>
      <c r="AQ295" s="96">
        <v>0.15</v>
      </c>
      <c r="AR295" s="96">
        <v>17.8</v>
      </c>
      <c r="AS295" s="93">
        <v>3.8</v>
      </c>
      <c r="AT295" s="96">
        <v>5.01</v>
      </c>
      <c r="AU295" s="96">
        <v>0.65</v>
      </c>
      <c r="AV295" s="99">
        <v>65.900000000000006</v>
      </c>
      <c r="AW295" s="98">
        <v>9.6</v>
      </c>
      <c r="AX295" s="98">
        <v>25.6</v>
      </c>
      <c r="AY295" s="98">
        <v>2.5</v>
      </c>
      <c r="AZ295" s="98">
        <v>119</v>
      </c>
      <c r="BA295" s="98">
        <v>16</v>
      </c>
      <c r="BB295" s="98">
        <v>26.1</v>
      </c>
      <c r="BC295" s="98">
        <v>3.2</v>
      </c>
      <c r="BD295" s="98">
        <v>227</v>
      </c>
      <c r="BE295" s="98">
        <v>25</v>
      </c>
      <c r="BF295" s="98">
        <v>45.7</v>
      </c>
      <c r="BG295" s="98">
        <v>6.3</v>
      </c>
      <c r="BI295" s="93">
        <v>11.4</v>
      </c>
      <c r="BJ295" s="98">
        <v>4.2</v>
      </c>
      <c r="BK295" s="98">
        <v>458000</v>
      </c>
      <c r="BL295" s="98">
        <v>30000</v>
      </c>
      <c r="BM295" s="98">
        <v>9200</v>
      </c>
      <c r="BN295" s="98">
        <v>1100</v>
      </c>
      <c r="BO295" s="99">
        <v>36.5</v>
      </c>
      <c r="BP295" s="98">
        <v>2.6</v>
      </c>
      <c r="BQ295" s="99">
        <v>59.8</v>
      </c>
      <c r="BR295" s="98">
        <v>4.4000000000000004</v>
      </c>
      <c r="BT295" s="95">
        <f t="shared" si="217"/>
        <v>0.26343612334801758</v>
      </c>
      <c r="BU295" s="96">
        <f t="shared" si="218"/>
        <v>7.5462962962962958</v>
      </c>
      <c r="BV295" s="96">
        <f t="shared" si="219"/>
        <v>49.782608695652172</v>
      </c>
      <c r="BW295" s="96">
        <f t="shared" si="220"/>
        <v>0.61036789297658867</v>
      </c>
      <c r="BX295" s="99">
        <f t="shared" si="244"/>
        <v>16.184254240144501</v>
      </c>
      <c r="BY295" s="96">
        <f t="shared" si="221"/>
        <v>7.5462962962962958</v>
      </c>
      <c r="BZ295" s="97">
        <f t="shared" si="222"/>
        <v>9.851561744512136E-3</v>
      </c>
      <c r="CA295" s="95">
        <f t="shared" si="223"/>
        <v>0.1436015622427686</v>
      </c>
      <c r="CB295" s="99">
        <f t="shared" si="243"/>
        <v>97.864949563585483</v>
      </c>
      <c r="CC295" s="99">
        <f t="shared" si="243"/>
        <v>7.2007655197286988</v>
      </c>
      <c r="CD295" s="100">
        <f t="shared" si="224"/>
        <v>786.65000761816702</v>
      </c>
      <c r="CE295" s="100">
        <f t="shared" si="239"/>
        <v>829.52129741728925</v>
      </c>
      <c r="CF295" s="100">
        <f t="shared" si="225"/>
        <v>42.607164775532517</v>
      </c>
      <c r="CG295" s="96">
        <f t="shared" si="240"/>
        <v>1.0368021458046228</v>
      </c>
      <c r="CH295" s="96">
        <f t="shared" si="214"/>
        <v>0.50488353802046004</v>
      </c>
      <c r="CJ295" s="95">
        <f t="shared" si="245"/>
        <v>1.248945147679325</v>
      </c>
      <c r="CK295" s="93">
        <f t="shared" si="226"/>
        <v>26.633986928104576</v>
      </c>
      <c r="CL295" s="93">
        <f t="shared" si="227"/>
        <v>2.1684210526315786</v>
      </c>
      <c r="CM295" s="93">
        <f t="shared" si="228"/>
        <v>4.6252676659528911</v>
      </c>
      <c r="CN295" s="93">
        <f t="shared" si="229"/>
        <v>21.56862745098039</v>
      </c>
      <c r="CO295" s="93">
        <f t="shared" si="230"/>
        <v>6.206896551724137</v>
      </c>
      <c r="CP295" s="93">
        <f t="shared" si="231"/>
        <v>86.618004866180058</v>
      </c>
      <c r="CQ295" s="93">
        <f t="shared" si="232"/>
        <v>133.95721925133688</v>
      </c>
      <c r="CR295" s="93">
        <f t="shared" si="233"/>
        <v>259.44881889763781</v>
      </c>
      <c r="CS295" s="93">
        <f t="shared" si="234"/>
        <v>452.2968197879859</v>
      </c>
      <c r="CT295" s="93">
        <f t="shared" si="235"/>
        <v>719.03323262839876</v>
      </c>
      <c r="CU295" s="93">
        <f t="shared" si="236"/>
        <v>1023.529411764706</v>
      </c>
      <c r="CV295" s="93">
        <f t="shared" si="237"/>
        <v>1335.2941176470588</v>
      </c>
      <c r="CW295" s="93">
        <f t="shared" si="238"/>
        <v>1799.212598425197</v>
      </c>
    </row>
    <row r="296" spans="1:101" s="98" customFormat="1">
      <c r="A296" s="3" t="s">
        <v>510</v>
      </c>
      <c r="B296" s="3" t="s">
        <v>268</v>
      </c>
      <c r="C296" s="3"/>
      <c r="D296" s="93">
        <v>5.5481999999999996</v>
      </c>
      <c r="E296" s="94">
        <v>0.1845</v>
      </c>
      <c r="F296" s="94">
        <v>7.9000000000000001E-4</v>
      </c>
      <c r="G296" s="95">
        <v>13.513999999999999</v>
      </c>
      <c r="H296" s="96">
        <v>0.33</v>
      </c>
      <c r="I296" s="97">
        <v>0.53220000000000001</v>
      </c>
      <c r="J296" s="95">
        <v>1.0999999999999999E-2</v>
      </c>
      <c r="K296" s="96">
        <v>0.69472999999999996</v>
      </c>
      <c r="M296" s="99">
        <v>2750.9</v>
      </c>
      <c r="N296" s="98">
        <v>48</v>
      </c>
      <c r="O296" s="99">
        <v>2693.3</v>
      </c>
      <c r="P296" s="98">
        <v>4.5999999999999996</v>
      </c>
      <c r="Q296" s="93">
        <v>-2.14</v>
      </c>
      <c r="R296" s="97">
        <v>0</v>
      </c>
      <c r="T296" s="98">
        <v>370</v>
      </c>
      <c r="U296" s="98">
        <v>210</v>
      </c>
      <c r="V296" s="98">
        <v>0.6</v>
      </c>
      <c r="W296" s="98">
        <v>1.1000000000000001</v>
      </c>
      <c r="X296" s="98">
        <v>0.34</v>
      </c>
      <c r="Y296" s="98">
        <v>0.31</v>
      </c>
      <c r="Z296" s="98">
        <v>3.43</v>
      </c>
      <c r="AA296" s="98">
        <v>0.7</v>
      </c>
      <c r="AB296" s="98">
        <v>1.85</v>
      </c>
      <c r="AC296" s="98">
        <v>0.49</v>
      </c>
      <c r="AD296" s="98">
        <v>1051</v>
      </c>
      <c r="AE296" s="98">
        <v>76</v>
      </c>
      <c r="AF296" s="95">
        <v>0.34</v>
      </c>
      <c r="AG296" s="97">
        <v>8.8999999999999996E-2</v>
      </c>
      <c r="AH296" s="96">
        <v>21.2</v>
      </c>
      <c r="AI296" s="96">
        <v>2.2000000000000002</v>
      </c>
      <c r="AJ296" s="95">
        <v>0.28000000000000003</v>
      </c>
      <c r="AK296" s="95">
        <v>0.11</v>
      </c>
      <c r="AL296" s="96">
        <v>2.34</v>
      </c>
      <c r="AM296" s="96">
        <v>0.64</v>
      </c>
      <c r="AN296" s="96">
        <v>3.3</v>
      </c>
      <c r="AO296" s="96">
        <v>1.3</v>
      </c>
      <c r="AP296" s="96">
        <v>0.52</v>
      </c>
      <c r="AQ296" s="96">
        <v>0.15</v>
      </c>
      <c r="AR296" s="96">
        <v>15.2</v>
      </c>
      <c r="AS296" s="93">
        <v>3.1</v>
      </c>
      <c r="AT296" s="96">
        <v>6.9</v>
      </c>
      <c r="AU296" s="96">
        <v>1.2</v>
      </c>
      <c r="AV296" s="99">
        <v>85.5</v>
      </c>
      <c r="AW296" s="98">
        <v>8.5</v>
      </c>
      <c r="AX296" s="98">
        <v>37.200000000000003</v>
      </c>
      <c r="AY296" s="98">
        <v>3.1</v>
      </c>
      <c r="AZ296" s="98">
        <v>159</v>
      </c>
      <c r="BA296" s="98">
        <v>13</v>
      </c>
      <c r="BB296" s="98">
        <v>37.5</v>
      </c>
      <c r="BC296" s="98">
        <v>2.5</v>
      </c>
      <c r="BD296" s="98">
        <v>315</v>
      </c>
      <c r="BE296" s="98">
        <v>22</v>
      </c>
      <c r="BF296" s="98">
        <v>70.3</v>
      </c>
      <c r="BG296" s="98">
        <v>5</v>
      </c>
      <c r="BI296" s="93">
        <v>9.5</v>
      </c>
      <c r="BJ296" s="98">
        <v>1.9</v>
      </c>
      <c r="BK296" s="98">
        <v>491000</v>
      </c>
      <c r="BL296" s="98">
        <v>37000</v>
      </c>
      <c r="BM296" s="98">
        <v>10460</v>
      </c>
      <c r="BN296" s="98">
        <v>870</v>
      </c>
      <c r="BO296" s="99">
        <v>73.3</v>
      </c>
      <c r="BP296" s="98">
        <v>5.3</v>
      </c>
      <c r="BQ296" s="99">
        <v>112.2</v>
      </c>
      <c r="BR296" s="98">
        <v>8</v>
      </c>
      <c r="BT296" s="95">
        <f t="shared" si="217"/>
        <v>0.35619047619047622</v>
      </c>
      <c r="BU296" s="96">
        <f t="shared" si="218"/>
        <v>9.0598290598290596</v>
      </c>
      <c r="BV296" s="96">
        <f t="shared" si="219"/>
        <v>46.940726577437857</v>
      </c>
      <c r="BW296" s="96">
        <f t="shared" si="220"/>
        <v>0.65329768270944732</v>
      </c>
      <c r="BX296" s="99">
        <f t="shared" si="244"/>
        <v>16.846199529125919</v>
      </c>
      <c r="BY296" s="96">
        <f t="shared" si="221"/>
        <v>9.0598290598290596</v>
      </c>
      <c r="BZ296" s="97">
        <f t="shared" si="222"/>
        <v>8.6201989151560993E-3</v>
      </c>
      <c r="CA296" s="95">
        <f t="shared" si="223"/>
        <v>0.22446478395415975</v>
      </c>
      <c r="CB296" s="99">
        <f t="shared" si="243"/>
        <v>183.61952075308182</v>
      </c>
      <c r="CC296" s="99">
        <f t="shared" si="243"/>
        <v>13.09230094496127</v>
      </c>
      <c r="CD296" s="100">
        <f t="shared" si="224"/>
        <v>768.44034257399665</v>
      </c>
      <c r="CE296" s="100">
        <f t="shared" si="239"/>
        <v>809.82228264021762</v>
      </c>
      <c r="CF296" s="100">
        <f t="shared" si="225"/>
        <v>24.516184665587154</v>
      </c>
      <c r="CG296" s="96">
        <f t="shared" si="240"/>
        <v>1.105003387704756</v>
      </c>
      <c r="CH296" s="96">
        <f t="shared" si="214"/>
        <v>0.33041995306140381</v>
      </c>
      <c r="CJ296" s="95">
        <f t="shared" si="245"/>
        <v>1.4345991561181437</v>
      </c>
      <c r="CK296" s="93">
        <f t="shared" si="226"/>
        <v>34.640522875816991</v>
      </c>
      <c r="CL296" s="93">
        <f t="shared" si="227"/>
        <v>2.9473684210526319</v>
      </c>
      <c r="CM296" s="93">
        <f t="shared" si="228"/>
        <v>5.0107066381156313</v>
      </c>
      <c r="CN296" s="93">
        <f t="shared" si="229"/>
        <v>21.56862745098039</v>
      </c>
      <c r="CO296" s="93">
        <f t="shared" si="230"/>
        <v>8.9655172413793096</v>
      </c>
      <c r="CP296" s="93">
        <f t="shared" si="231"/>
        <v>73.965936739659369</v>
      </c>
      <c r="CQ296" s="93">
        <f t="shared" si="232"/>
        <v>184.49197860962568</v>
      </c>
      <c r="CR296" s="93">
        <f t="shared" si="233"/>
        <v>336.61417322834643</v>
      </c>
      <c r="CS296" s="93">
        <f t="shared" si="234"/>
        <v>657.24381625441708</v>
      </c>
      <c r="CT296" s="93">
        <f t="shared" si="235"/>
        <v>960.72507552870081</v>
      </c>
      <c r="CU296" s="93">
        <f t="shared" si="236"/>
        <v>1470.5882352941178</v>
      </c>
      <c r="CV296" s="93">
        <f t="shared" si="237"/>
        <v>1852.9411764705881</v>
      </c>
      <c r="CW296" s="93">
        <f t="shared" si="238"/>
        <v>2767.7165354330709</v>
      </c>
    </row>
    <row r="297" spans="1:101" s="118" customFormat="1">
      <c r="A297" s="111" t="s">
        <v>511</v>
      </c>
      <c r="B297" s="111" t="s">
        <v>268</v>
      </c>
      <c r="C297" s="111"/>
      <c r="D297" s="113">
        <v>5.5953999999999997</v>
      </c>
      <c r="E297" s="114">
        <v>0.1865</v>
      </c>
      <c r="F297" s="114">
        <v>1.1999999999999999E-3</v>
      </c>
      <c r="G297" s="115">
        <v>13.67</v>
      </c>
      <c r="H297" s="116">
        <v>0.34</v>
      </c>
      <c r="I297" s="117">
        <v>0.53249999999999997</v>
      </c>
      <c r="J297" s="115">
        <v>1.2E-2</v>
      </c>
      <c r="K297" s="116">
        <v>0.66227000000000003</v>
      </c>
      <c r="M297" s="119">
        <v>2752</v>
      </c>
      <c r="N297" s="118">
        <v>49</v>
      </c>
      <c r="O297" s="119">
        <v>2712.3</v>
      </c>
      <c r="P297" s="118">
        <v>5.5</v>
      </c>
      <c r="Q297" s="113">
        <v>-1.46</v>
      </c>
      <c r="R297" s="117">
        <v>1E-4</v>
      </c>
      <c r="T297" s="118">
        <v>360</v>
      </c>
      <c r="U297" s="118">
        <v>180</v>
      </c>
      <c r="V297" s="118">
        <v>2.2999999999999998</v>
      </c>
      <c r="W297" s="118">
        <v>1.8</v>
      </c>
      <c r="X297" s="118">
        <v>16.7</v>
      </c>
      <c r="Y297" s="118">
        <v>5.2</v>
      </c>
      <c r="Z297" s="118">
        <v>4.0999999999999996</v>
      </c>
      <c r="AA297" s="118">
        <v>1.4</v>
      </c>
      <c r="AB297" s="118">
        <v>1.05</v>
      </c>
      <c r="AC297" s="118">
        <v>0.28999999999999998</v>
      </c>
      <c r="AD297" s="118">
        <v>2530</v>
      </c>
      <c r="AE297" s="118">
        <v>410</v>
      </c>
      <c r="AF297" s="115">
        <v>2.66</v>
      </c>
      <c r="AG297" s="117">
        <v>0.64</v>
      </c>
      <c r="AH297" s="116">
        <v>31.3</v>
      </c>
      <c r="AI297" s="116">
        <v>6.2</v>
      </c>
      <c r="AJ297" s="115">
        <v>1.1599999999999999</v>
      </c>
      <c r="AK297" s="115">
        <v>0.25</v>
      </c>
      <c r="AL297" s="116">
        <v>11.7</v>
      </c>
      <c r="AM297" s="116">
        <v>2.5</v>
      </c>
      <c r="AN297" s="116">
        <v>15.5</v>
      </c>
      <c r="AO297" s="116">
        <v>2.8</v>
      </c>
      <c r="AP297" s="116">
        <v>3.8</v>
      </c>
      <c r="AQ297" s="116">
        <v>1.1000000000000001</v>
      </c>
      <c r="AR297" s="116">
        <v>84</v>
      </c>
      <c r="AS297" s="113">
        <v>12</v>
      </c>
      <c r="AT297" s="116">
        <v>24.5</v>
      </c>
      <c r="AU297" s="116">
        <v>3.7</v>
      </c>
      <c r="AV297" s="119">
        <v>251</v>
      </c>
      <c r="AW297" s="118">
        <v>33</v>
      </c>
      <c r="AX297" s="118">
        <v>88</v>
      </c>
      <c r="AY297" s="118">
        <v>12</v>
      </c>
      <c r="AZ297" s="118">
        <v>377</v>
      </c>
      <c r="BA297" s="118">
        <v>62</v>
      </c>
      <c r="BB297" s="118">
        <v>70</v>
      </c>
      <c r="BC297" s="118">
        <v>11</v>
      </c>
      <c r="BD297" s="118">
        <v>571</v>
      </c>
      <c r="BE297" s="118">
        <v>66</v>
      </c>
      <c r="BF297" s="118">
        <v>107</v>
      </c>
      <c r="BG297" s="118">
        <v>16</v>
      </c>
      <c r="BI297" s="113">
        <v>214</v>
      </c>
      <c r="BJ297" s="118">
        <v>83</v>
      </c>
      <c r="BK297" s="118">
        <v>481000</v>
      </c>
      <c r="BL297" s="118">
        <v>51000</v>
      </c>
      <c r="BM297" s="118">
        <v>7660</v>
      </c>
      <c r="BN297" s="118">
        <v>880</v>
      </c>
      <c r="BO297" s="119">
        <v>106</v>
      </c>
      <c r="BP297" s="118">
        <v>14</v>
      </c>
      <c r="BQ297" s="119">
        <v>102</v>
      </c>
      <c r="BR297" s="118">
        <v>13</v>
      </c>
      <c r="BT297" s="115"/>
      <c r="BU297" s="116"/>
      <c r="BV297" s="116"/>
      <c r="BW297" s="116"/>
      <c r="BX297" s="119"/>
      <c r="BY297" s="116"/>
      <c r="BZ297" s="117"/>
      <c r="CA297" s="115"/>
      <c r="CB297" s="99"/>
      <c r="CC297" s="99"/>
      <c r="CD297" s="120"/>
      <c r="CE297" s="100"/>
      <c r="CF297" s="100"/>
      <c r="CG297" s="116"/>
      <c r="CH297" s="96"/>
      <c r="CJ297" s="115">
        <f t="shared" si="245"/>
        <v>11.223628691983123</v>
      </c>
      <c r="CK297" s="113">
        <f t="shared" si="226"/>
        <v>51.143790849673202</v>
      </c>
      <c r="CL297" s="113">
        <f t="shared" si="227"/>
        <v>12.210526315789473</v>
      </c>
      <c r="CM297" s="113">
        <f t="shared" si="228"/>
        <v>25.053533190578154</v>
      </c>
      <c r="CN297" s="113">
        <f t="shared" si="229"/>
        <v>101.30718954248366</v>
      </c>
      <c r="CO297" s="113">
        <f t="shared" si="230"/>
        <v>65.517241379310335</v>
      </c>
      <c r="CP297" s="113">
        <f t="shared" si="231"/>
        <v>408.75912408759126</v>
      </c>
      <c r="CQ297" s="113">
        <f t="shared" si="232"/>
        <v>655.08021390374324</v>
      </c>
      <c r="CR297" s="113">
        <f t="shared" si="233"/>
        <v>988.18897637795271</v>
      </c>
      <c r="CS297" s="113">
        <f t="shared" si="234"/>
        <v>1554.7703180212015</v>
      </c>
      <c r="CT297" s="113">
        <f t="shared" si="235"/>
        <v>2277.9456193353471</v>
      </c>
      <c r="CU297" s="113">
        <f t="shared" si="236"/>
        <v>2745.0980392156866</v>
      </c>
      <c r="CV297" s="113">
        <f t="shared" si="237"/>
        <v>3358.8235294117644</v>
      </c>
      <c r="CW297" s="113">
        <f t="shared" si="238"/>
        <v>4212.5984251968503</v>
      </c>
    </row>
    <row r="298" spans="1:101" s="98" customFormat="1">
      <c r="A298" s="3" t="s">
        <v>512</v>
      </c>
      <c r="B298" s="3" t="s">
        <v>268</v>
      </c>
      <c r="C298" s="3"/>
      <c r="D298" s="93">
        <v>6.2587999999999999</v>
      </c>
      <c r="E298" s="94">
        <v>0.18410000000000001</v>
      </c>
      <c r="F298" s="94">
        <v>1.4E-3</v>
      </c>
      <c r="G298" s="95">
        <v>12.93</v>
      </c>
      <c r="H298" s="96">
        <v>0.33</v>
      </c>
      <c r="I298" s="97">
        <v>0.51039999999999996</v>
      </c>
      <c r="J298" s="95">
        <v>1.0999999999999999E-2</v>
      </c>
      <c r="K298" s="96">
        <v>0.67893999999999999</v>
      </c>
      <c r="M298" s="99">
        <v>2658</v>
      </c>
      <c r="N298" s="98">
        <v>48</v>
      </c>
      <c r="O298" s="99">
        <v>2689.4</v>
      </c>
      <c r="P298" s="98">
        <v>7</v>
      </c>
      <c r="Q298" s="93">
        <v>1.1499999999999999</v>
      </c>
      <c r="R298" s="97">
        <v>4.1999999999999997E-3</v>
      </c>
      <c r="T298" s="98">
        <v>240</v>
      </c>
      <c r="U298" s="98">
        <v>120</v>
      </c>
      <c r="V298" s="98">
        <v>0.5</v>
      </c>
      <c r="W298" s="98">
        <v>1.4</v>
      </c>
      <c r="X298" s="98">
        <v>0.22</v>
      </c>
      <c r="Y298" s="98">
        <v>0.2</v>
      </c>
      <c r="Z298" s="98">
        <v>2.2200000000000002</v>
      </c>
      <c r="AA298" s="98">
        <v>0.47</v>
      </c>
      <c r="AB298" s="98">
        <v>0.35</v>
      </c>
      <c r="AC298" s="98">
        <v>0.34</v>
      </c>
      <c r="AD298" s="98">
        <v>1310</v>
      </c>
      <c r="AE298" s="98">
        <v>140</v>
      </c>
      <c r="AF298" s="95">
        <v>7.1000000000000004E-3</v>
      </c>
      <c r="AG298" s="97">
        <v>8.0999999999999996E-3</v>
      </c>
      <c r="AH298" s="96">
        <v>13.4</v>
      </c>
      <c r="AI298" s="96">
        <v>1.5</v>
      </c>
      <c r="AJ298" s="95">
        <v>0.16600000000000001</v>
      </c>
      <c r="AK298" s="95">
        <v>7.3999999999999996E-2</v>
      </c>
      <c r="AL298" s="96">
        <v>3.02</v>
      </c>
      <c r="AM298" s="96">
        <v>0.96</v>
      </c>
      <c r="AN298" s="96">
        <v>7.2</v>
      </c>
      <c r="AO298" s="96">
        <v>1.6</v>
      </c>
      <c r="AP298" s="96">
        <v>1.66</v>
      </c>
      <c r="AQ298" s="96">
        <v>0.43</v>
      </c>
      <c r="AR298" s="96">
        <v>39.200000000000003</v>
      </c>
      <c r="AS298" s="93">
        <v>6.9</v>
      </c>
      <c r="AT298" s="96">
        <v>11.8</v>
      </c>
      <c r="AU298" s="96">
        <v>1.4</v>
      </c>
      <c r="AV298" s="99">
        <v>126</v>
      </c>
      <c r="AW298" s="98">
        <v>17</v>
      </c>
      <c r="AX298" s="98">
        <v>43.3</v>
      </c>
      <c r="AY298" s="98">
        <v>5.3</v>
      </c>
      <c r="AZ298" s="98">
        <v>190</v>
      </c>
      <c r="BA298" s="98">
        <v>26</v>
      </c>
      <c r="BB298" s="98">
        <v>36.4</v>
      </c>
      <c r="BC298" s="98">
        <v>5.5</v>
      </c>
      <c r="BD298" s="98">
        <v>314</v>
      </c>
      <c r="BE298" s="98">
        <v>44</v>
      </c>
      <c r="BF298" s="98">
        <v>54.1</v>
      </c>
      <c r="BG298" s="98">
        <v>6.1</v>
      </c>
      <c r="BI298" s="93">
        <v>11.5</v>
      </c>
      <c r="BJ298" s="98">
        <v>3.7</v>
      </c>
      <c r="BK298" s="98">
        <v>515000</v>
      </c>
      <c r="BL298" s="98">
        <v>50000</v>
      </c>
      <c r="BM298" s="98">
        <v>9800</v>
      </c>
      <c r="BN298" s="98">
        <v>1400</v>
      </c>
      <c r="BO298" s="99">
        <v>49.3</v>
      </c>
      <c r="BP298" s="98">
        <v>3</v>
      </c>
      <c r="BQ298" s="99">
        <v>52.6</v>
      </c>
      <c r="BR298" s="98">
        <v>3.1</v>
      </c>
      <c r="BT298" s="95">
        <f t="shared" si="217"/>
        <v>0.167515923566879</v>
      </c>
      <c r="BU298" s="96">
        <f t="shared" si="218"/>
        <v>4.4370860927152318</v>
      </c>
      <c r="BV298" s="96">
        <f t="shared" si="219"/>
        <v>52.551020408163268</v>
      </c>
      <c r="BW298" s="96">
        <f t="shared" si="220"/>
        <v>0.93726235741444863</v>
      </c>
      <c r="BX298" s="99">
        <f t="shared" si="244"/>
        <v>95.698720990841764</v>
      </c>
      <c r="BY298" s="96">
        <f t="shared" si="221"/>
        <v>4.4370860927152318</v>
      </c>
      <c r="BZ298" s="97">
        <f t="shared" si="222"/>
        <v>3.3870886203933065E-3</v>
      </c>
      <c r="CA298" s="95">
        <f t="shared" si="223"/>
        <v>0.30208032597536316</v>
      </c>
      <c r="CB298" s="99">
        <f t="shared" si="243"/>
        <v>86.081878713120346</v>
      </c>
      <c r="CC298" s="99">
        <f t="shared" si="243"/>
        <v>5.073266616172492</v>
      </c>
      <c r="CD298" s="100">
        <f t="shared" si="224"/>
        <v>787.5382920305957</v>
      </c>
      <c r="CE298" s="100">
        <f t="shared" si="239"/>
        <v>830.4829342068316</v>
      </c>
      <c r="CF298" s="100">
        <f t="shared" si="225"/>
        <v>37.740407574589938</v>
      </c>
      <c r="CG298" s="96">
        <f>2.28+3.99*LOG(AH298/((CB298*BI298)^(1/2)))</f>
        <v>0.80090703908939176</v>
      </c>
      <c r="CH298" s="96">
        <f t="shared" si="214"/>
        <v>0.4054306117355036</v>
      </c>
      <c r="CJ298" s="95">
        <f t="shared" si="245"/>
        <v>2.9957805907173E-2</v>
      </c>
      <c r="CK298" s="93">
        <f t="shared" si="226"/>
        <v>21.895424836601308</v>
      </c>
      <c r="CL298" s="93">
        <f t="shared" si="227"/>
        <v>1.7473684210526317</v>
      </c>
      <c r="CM298" s="93">
        <f t="shared" si="228"/>
        <v>6.4668094218415417</v>
      </c>
      <c r="CN298" s="93">
        <f t="shared" si="229"/>
        <v>47.058823529411768</v>
      </c>
      <c r="CO298" s="93">
        <f t="shared" si="230"/>
        <v>28.620689655172409</v>
      </c>
      <c r="CP298" s="93">
        <f t="shared" si="231"/>
        <v>190.75425790754261</v>
      </c>
      <c r="CQ298" s="93">
        <f t="shared" si="232"/>
        <v>315.50802139037432</v>
      </c>
      <c r="CR298" s="93">
        <f t="shared" si="233"/>
        <v>496.06299212598424</v>
      </c>
      <c r="CS298" s="93">
        <f t="shared" si="234"/>
        <v>765.01766784452298</v>
      </c>
      <c r="CT298" s="93">
        <f t="shared" si="235"/>
        <v>1148.0362537764349</v>
      </c>
      <c r="CU298" s="93">
        <f t="shared" si="236"/>
        <v>1427.4509803921569</v>
      </c>
      <c r="CV298" s="93">
        <f t="shared" si="237"/>
        <v>1847.0588235294117</v>
      </c>
      <c r="CW298" s="93">
        <f t="shared" si="238"/>
        <v>2129.9212598425197</v>
      </c>
    </row>
    <row r="299" spans="1:101" s="98" customFormat="1">
      <c r="A299" s="3" t="s">
        <v>513</v>
      </c>
      <c r="B299" s="3" t="s">
        <v>268</v>
      </c>
      <c r="C299" s="3"/>
      <c r="D299" s="93">
        <v>5.9645000000000001</v>
      </c>
      <c r="E299" s="94">
        <v>0.1842</v>
      </c>
      <c r="F299" s="94">
        <v>1.1999999999999999E-3</v>
      </c>
      <c r="G299" s="95">
        <v>13.64</v>
      </c>
      <c r="H299" s="96">
        <v>0.34</v>
      </c>
      <c r="I299" s="97">
        <v>0.53820000000000001</v>
      </c>
      <c r="J299" s="95">
        <v>1.2E-2</v>
      </c>
      <c r="K299" s="96">
        <v>0.63138000000000005</v>
      </c>
      <c r="M299" s="99">
        <v>2776</v>
      </c>
      <c r="N299" s="98">
        <v>49</v>
      </c>
      <c r="O299" s="99">
        <v>2690.7</v>
      </c>
      <c r="P299" s="98">
        <v>5.0999999999999996</v>
      </c>
      <c r="Q299" s="93">
        <v>-3.17</v>
      </c>
      <c r="R299" s="97">
        <v>0</v>
      </c>
      <c r="T299" s="98">
        <v>400</v>
      </c>
      <c r="U299" s="98">
        <v>230</v>
      </c>
      <c r="V299" s="98">
        <v>0.9</v>
      </c>
      <c r="W299" s="98">
        <v>1</v>
      </c>
      <c r="X299" s="98">
        <v>0.28000000000000003</v>
      </c>
      <c r="Y299" s="98">
        <v>0.17</v>
      </c>
      <c r="Z299" s="98">
        <v>2.4900000000000002</v>
      </c>
      <c r="AA299" s="98">
        <v>0.82</v>
      </c>
      <c r="AB299" s="98">
        <v>0.7</v>
      </c>
      <c r="AC299" s="98">
        <v>0.44</v>
      </c>
      <c r="AD299" s="98">
        <v>2310</v>
      </c>
      <c r="AE299" s="98">
        <v>240</v>
      </c>
      <c r="AF299" s="95">
        <v>0.16</v>
      </c>
      <c r="AG299" s="97">
        <v>5.3999999999999999E-2</v>
      </c>
      <c r="AH299" s="96">
        <v>20.3</v>
      </c>
      <c r="AI299" s="96">
        <v>3.4</v>
      </c>
      <c r="AJ299" s="95">
        <v>0.46</v>
      </c>
      <c r="AK299" s="95">
        <v>0.13</v>
      </c>
      <c r="AL299" s="96">
        <v>10</v>
      </c>
      <c r="AM299" s="96">
        <v>1.1000000000000001</v>
      </c>
      <c r="AN299" s="96">
        <v>16.7</v>
      </c>
      <c r="AO299" s="96">
        <v>3.2</v>
      </c>
      <c r="AP299" s="96">
        <v>3.49</v>
      </c>
      <c r="AQ299" s="96">
        <v>0.54</v>
      </c>
      <c r="AR299" s="96">
        <v>75</v>
      </c>
      <c r="AS299" s="93">
        <v>13</v>
      </c>
      <c r="AT299" s="96">
        <v>21.3</v>
      </c>
      <c r="AU299" s="96">
        <v>3.3</v>
      </c>
      <c r="AV299" s="99">
        <v>230</v>
      </c>
      <c r="AW299" s="98">
        <v>32</v>
      </c>
      <c r="AX299" s="98">
        <v>82</v>
      </c>
      <c r="AY299" s="98">
        <v>13</v>
      </c>
      <c r="AZ299" s="98">
        <v>355</v>
      </c>
      <c r="BA299" s="98">
        <v>48</v>
      </c>
      <c r="BB299" s="98">
        <v>63</v>
      </c>
      <c r="BC299" s="98">
        <v>9.1</v>
      </c>
      <c r="BD299" s="98">
        <v>533</v>
      </c>
      <c r="BE299" s="98">
        <v>67</v>
      </c>
      <c r="BF299" s="98">
        <v>99</v>
      </c>
      <c r="BG299" s="98">
        <v>14</v>
      </c>
      <c r="BI299" s="93">
        <v>13.8</v>
      </c>
      <c r="BJ299" s="98">
        <v>5.4</v>
      </c>
      <c r="BK299" s="98">
        <v>524000</v>
      </c>
      <c r="BL299" s="98">
        <v>53000</v>
      </c>
      <c r="BM299" s="98">
        <v>8600</v>
      </c>
      <c r="BN299" s="98">
        <v>1400</v>
      </c>
      <c r="BO299" s="99">
        <v>100.8</v>
      </c>
      <c r="BP299" s="98">
        <v>7.1</v>
      </c>
      <c r="BQ299" s="99">
        <v>94.9</v>
      </c>
      <c r="BR299" s="98">
        <v>6.6</v>
      </c>
      <c r="BT299" s="95">
        <f t="shared" si="217"/>
        <v>0.1780487804878049</v>
      </c>
      <c r="BU299" s="96">
        <f t="shared" si="218"/>
        <v>2.0300000000000002</v>
      </c>
      <c r="BV299" s="96">
        <f t="shared" si="219"/>
        <v>60.930232558139537</v>
      </c>
      <c r="BW299" s="96">
        <f t="shared" si="220"/>
        <v>1.0621707060063224</v>
      </c>
      <c r="BX299" s="99">
        <f t="shared" si="244"/>
        <v>18.346012465000218</v>
      </c>
      <c r="BY299" s="96">
        <f t="shared" si="221"/>
        <v>2.0300000000000002</v>
      </c>
      <c r="BZ299" s="97">
        <f t="shared" si="222"/>
        <v>8.7878787878787885E-4</v>
      </c>
      <c r="CA299" s="95">
        <f t="shared" si="223"/>
        <v>0.30148117181272066</v>
      </c>
      <c r="CB299" s="99">
        <f t="shared" si="243"/>
        <v>155.30741995960307</v>
      </c>
      <c r="CC299" s="99">
        <f t="shared" si="243"/>
        <v>10.801148279593047</v>
      </c>
      <c r="CD299" s="100">
        <f t="shared" si="224"/>
        <v>806.42789602967389</v>
      </c>
      <c r="CE299" s="100">
        <f t="shared" si="239"/>
        <v>850.9478452799566</v>
      </c>
      <c r="CF299" s="100">
        <f t="shared" si="225"/>
        <v>46.657527239563976</v>
      </c>
      <c r="CG299" s="96">
        <f>2.28+3.99*LOG(AH299/((CB299*BI299)^(1/2)))</f>
        <v>0.85142196481677734</v>
      </c>
      <c r="CH299" s="96">
        <f t="shared" si="214"/>
        <v>0.53166584895079416</v>
      </c>
      <c r="CJ299" s="95">
        <f t="shared" si="245"/>
        <v>0.67510548523206759</v>
      </c>
      <c r="CK299" s="93">
        <f t="shared" si="226"/>
        <v>33.169934640522875</v>
      </c>
      <c r="CL299" s="93">
        <f t="shared" si="227"/>
        <v>4.8421052631578947</v>
      </c>
      <c r="CM299" s="93">
        <f t="shared" si="228"/>
        <v>21.413276231263382</v>
      </c>
      <c r="CN299" s="93">
        <f t="shared" si="229"/>
        <v>109.15032679738562</v>
      </c>
      <c r="CO299" s="93">
        <f t="shared" si="230"/>
        <v>60.172413793103452</v>
      </c>
      <c r="CP299" s="93">
        <f t="shared" si="231"/>
        <v>364.96350364963507</v>
      </c>
      <c r="CQ299" s="93">
        <f t="shared" si="232"/>
        <v>569.51871657754009</v>
      </c>
      <c r="CR299" s="93">
        <f t="shared" si="233"/>
        <v>905.51181102362204</v>
      </c>
      <c r="CS299" s="93">
        <f t="shared" si="234"/>
        <v>1448.7632508833924</v>
      </c>
      <c r="CT299" s="93">
        <f t="shared" si="235"/>
        <v>2145.0151057401813</v>
      </c>
      <c r="CU299" s="93">
        <f t="shared" si="236"/>
        <v>2470.588235294118</v>
      </c>
      <c r="CV299" s="93">
        <f t="shared" si="237"/>
        <v>3135.2941176470586</v>
      </c>
      <c r="CW299" s="93">
        <f t="shared" si="238"/>
        <v>3897.6377952755906</v>
      </c>
    </row>
    <row r="300" spans="1:101" s="98" customFormat="1">
      <c r="A300" s="3" t="s">
        <v>514</v>
      </c>
      <c r="B300" s="3" t="s">
        <v>268</v>
      </c>
      <c r="C300" s="3"/>
      <c r="D300" s="93">
        <v>7.032</v>
      </c>
      <c r="E300" s="94">
        <v>0.18509999999999999</v>
      </c>
      <c r="F300" s="94">
        <v>1.2999999999999999E-3</v>
      </c>
      <c r="G300" s="95">
        <v>13.33</v>
      </c>
      <c r="H300" s="96">
        <v>0.35</v>
      </c>
      <c r="I300" s="97">
        <v>0.52310000000000001</v>
      </c>
      <c r="J300" s="95">
        <v>1.2E-2</v>
      </c>
      <c r="K300" s="96">
        <v>0.77483000000000002</v>
      </c>
      <c r="M300" s="99">
        <v>2712</v>
      </c>
      <c r="N300" s="98">
        <v>49</v>
      </c>
      <c r="O300" s="99">
        <v>2698.8</v>
      </c>
      <c r="P300" s="98">
        <v>5.7</v>
      </c>
      <c r="Q300" s="93">
        <v>-0.49</v>
      </c>
      <c r="R300" s="97">
        <v>5.0000000000000001E-4</v>
      </c>
      <c r="T300" s="98">
        <v>310</v>
      </c>
      <c r="U300" s="98">
        <v>120</v>
      </c>
      <c r="V300" s="98" t="s">
        <v>250</v>
      </c>
      <c r="W300" s="98" t="s">
        <v>250</v>
      </c>
      <c r="X300" s="98">
        <v>0.35</v>
      </c>
      <c r="Y300" s="98">
        <v>0.34</v>
      </c>
      <c r="Z300" s="98">
        <v>2.06</v>
      </c>
      <c r="AA300" s="98">
        <v>0.55000000000000004</v>
      </c>
      <c r="AB300" s="98">
        <v>0.88</v>
      </c>
      <c r="AC300" s="98">
        <v>0.28999999999999998</v>
      </c>
      <c r="AD300" s="98">
        <v>1319</v>
      </c>
      <c r="AE300" s="98">
        <v>76</v>
      </c>
      <c r="AF300" s="95">
        <v>2.5999999999999999E-2</v>
      </c>
      <c r="AG300" s="97">
        <v>2.1000000000000001E-2</v>
      </c>
      <c r="AH300" s="96">
        <v>12.5</v>
      </c>
      <c r="AI300" s="96">
        <v>1.5</v>
      </c>
      <c r="AJ300" s="95">
        <v>0.215</v>
      </c>
      <c r="AK300" s="95">
        <v>6.7000000000000004E-2</v>
      </c>
      <c r="AL300" s="96">
        <v>4.2</v>
      </c>
      <c r="AM300" s="96">
        <v>1</v>
      </c>
      <c r="AN300" s="96">
        <v>8.8000000000000007</v>
      </c>
      <c r="AO300" s="96">
        <v>1.4</v>
      </c>
      <c r="AP300" s="96">
        <v>1.64</v>
      </c>
      <c r="AQ300" s="96">
        <v>0.37</v>
      </c>
      <c r="AR300" s="96">
        <v>43.3</v>
      </c>
      <c r="AS300" s="93">
        <v>5.6</v>
      </c>
      <c r="AT300" s="96">
        <v>12.7</v>
      </c>
      <c r="AU300" s="96">
        <v>1.2</v>
      </c>
      <c r="AV300" s="99">
        <v>137</v>
      </c>
      <c r="AW300" s="98">
        <v>17</v>
      </c>
      <c r="AX300" s="98">
        <v>46.9</v>
      </c>
      <c r="AY300" s="98">
        <v>4.5999999999999996</v>
      </c>
      <c r="AZ300" s="98">
        <v>206</v>
      </c>
      <c r="BA300" s="98">
        <v>16</v>
      </c>
      <c r="BB300" s="98">
        <v>39.700000000000003</v>
      </c>
      <c r="BC300" s="98">
        <v>4.2</v>
      </c>
      <c r="BD300" s="98">
        <v>314</v>
      </c>
      <c r="BE300" s="98">
        <v>26</v>
      </c>
      <c r="BF300" s="98">
        <v>61.2</v>
      </c>
      <c r="BG300" s="98">
        <v>4.5999999999999996</v>
      </c>
      <c r="BI300" s="93">
        <v>7.9</v>
      </c>
      <c r="BJ300" s="98">
        <v>3.9</v>
      </c>
      <c r="BK300" s="98">
        <v>513000</v>
      </c>
      <c r="BL300" s="98">
        <v>45000</v>
      </c>
      <c r="BM300" s="98">
        <v>8640</v>
      </c>
      <c r="BN300" s="98">
        <v>820</v>
      </c>
      <c r="BO300" s="99">
        <v>46.3</v>
      </c>
      <c r="BP300" s="98">
        <v>2</v>
      </c>
      <c r="BQ300" s="99">
        <v>53</v>
      </c>
      <c r="BR300" s="98">
        <v>2.2999999999999998</v>
      </c>
      <c r="BT300" s="95">
        <f t="shared" si="217"/>
        <v>0.16878980891719744</v>
      </c>
      <c r="BU300" s="96">
        <f t="shared" si="218"/>
        <v>2.9761904761904763</v>
      </c>
      <c r="BV300" s="96">
        <f t="shared" si="219"/>
        <v>59.375</v>
      </c>
      <c r="BW300" s="96">
        <f t="shared" si="220"/>
        <v>0.87358490566037728</v>
      </c>
      <c r="BX300" s="99">
        <f t="shared" si="244"/>
        <v>40.991014086906866</v>
      </c>
      <c r="BY300" s="96">
        <f t="shared" si="221"/>
        <v>2.9761904761904763</v>
      </c>
      <c r="BZ300" s="97">
        <f t="shared" si="222"/>
        <v>2.2563991479836818E-3</v>
      </c>
      <c r="CA300" s="95">
        <f t="shared" si="223"/>
        <v>0.25685155466037668</v>
      </c>
      <c r="CB300" s="99">
        <f t="shared" si="243"/>
        <v>86.736493760368418</v>
      </c>
      <c r="CC300" s="99">
        <f t="shared" si="243"/>
        <v>3.7640365216763647</v>
      </c>
      <c r="CD300" s="100">
        <f t="shared" si="224"/>
        <v>750.64596765218948</v>
      </c>
      <c r="CE300" s="100">
        <f t="shared" si="239"/>
        <v>790.59894206794013</v>
      </c>
      <c r="CF300" s="100">
        <f t="shared" si="225"/>
        <v>52.446174520356557</v>
      </c>
      <c r="CG300" s="96">
        <f>2.28+3.99*LOG(AH300/((CB300*BI300)^(1/2)))</f>
        <v>0.99919218963011391</v>
      </c>
      <c r="CH300" s="96">
        <f t="shared" si="214"/>
        <v>0.55773942345431615</v>
      </c>
      <c r="CJ300" s="95">
        <f t="shared" si="245"/>
        <v>0.10970464135021098</v>
      </c>
      <c r="CK300" s="93">
        <f t="shared" si="226"/>
        <v>20.424836601307192</v>
      </c>
      <c r="CL300" s="93">
        <f t="shared" si="227"/>
        <v>2.263157894736842</v>
      </c>
      <c r="CM300" s="93">
        <f t="shared" si="228"/>
        <v>8.9935760171306214</v>
      </c>
      <c r="CN300" s="93">
        <f t="shared" si="229"/>
        <v>57.516339869281055</v>
      </c>
      <c r="CO300" s="93">
        <f t="shared" si="230"/>
        <v>28.275862068965512</v>
      </c>
      <c r="CP300" s="93">
        <f t="shared" si="231"/>
        <v>210.70559610705595</v>
      </c>
      <c r="CQ300" s="93">
        <f t="shared" si="232"/>
        <v>339.57219251336892</v>
      </c>
      <c r="CR300" s="93">
        <f t="shared" si="233"/>
        <v>539.37007874015751</v>
      </c>
      <c r="CS300" s="93">
        <f t="shared" si="234"/>
        <v>828.62190812720848</v>
      </c>
      <c r="CT300" s="93">
        <f t="shared" si="235"/>
        <v>1244.7129909365558</v>
      </c>
      <c r="CU300" s="93">
        <f t="shared" si="236"/>
        <v>1556.8627450980393</v>
      </c>
      <c r="CV300" s="93">
        <f t="shared" si="237"/>
        <v>1847.0588235294117</v>
      </c>
      <c r="CW300" s="93">
        <f t="shared" si="238"/>
        <v>2409.4488188976379</v>
      </c>
    </row>
    <row r="301" spans="1:101" s="98" customFormat="1">
      <c r="A301" s="3" t="s">
        <v>515</v>
      </c>
      <c r="B301" s="3" t="s">
        <v>268</v>
      </c>
      <c r="C301" s="3"/>
      <c r="D301" s="93">
        <v>6.1032999999999999</v>
      </c>
      <c r="E301" s="94">
        <v>0.18240000000000001</v>
      </c>
      <c r="F301" s="94">
        <v>1.1000000000000001E-3</v>
      </c>
      <c r="G301" s="95">
        <v>14.11</v>
      </c>
      <c r="H301" s="96">
        <v>0.47</v>
      </c>
      <c r="I301" s="97">
        <v>0.56200000000000006</v>
      </c>
      <c r="J301" s="95">
        <v>1.6E-2</v>
      </c>
      <c r="K301" s="96">
        <v>0.97379000000000004</v>
      </c>
      <c r="M301" s="99">
        <v>2873</v>
      </c>
      <c r="N301" s="98">
        <v>68</v>
      </c>
      <c r="O301" s="99">
        <v>2674.5</v>
      </c>
      <c r="P301" s="98">
        <v>7.3</v>
      </c>
      <c r="Q301" s="93">
        <v>-7.4</v>
      </c>
      <c r="R301" s="97">
        <v>4.5000000000000003E-5</v>
      </c>
      <c r="T301" s="98">
        <v>290</v>
      </c>
      <c r="U301" s="98">
        <v>130</v>
      </c>
      <c r="V301" s="98">
        <v>1.5</v>
      </c>
      <c r="W301" s="98">
        <v>1.6</v>
      </c>
      <c r="X301" s="98">
        <v>0.66</v>
      </c>
      <c r="Y301" s="98">
        <v>0.47</v>
      </c>
      <c r="Z301" s="98">
        <v>2.96</v>
      </c>
      <c r="AA301" s="98">
        <v>0.77</v>
      </c>
      <c r="AB301" s="98">
        <v>1.1100000000000001</v>
      </c>
      <c r="AC301" s="98">
        <v>0.46</v>
      </c>
      <c r="AD301" s="98">
        <v>1600</v>
      </c>
      <c r="AE301" s="98">
        <v>160</v>
      </c>
      <c r="AF301" s="95">
        <v>0.53</v>
      </c>
      <c r="AG301" s="97">
        <v>0.17</v>
      </c>
      <c r="AH301" s="96">
        <v>24.7</v>
      </c>
      <c r="AI301" s="96">
        <v>2.4</v>
      </c>
      <c r="AJ301" s="95">
        <v>0.67</v>
      </c>
      <c r="AK301" s="95">
        <v>0.15</v>
      </c>
      <c r="AL301" s="96">
        <v>6.3</v>
      </c>
      <c r="AM301" s="96">
        <v>1.7</v>
      </c>
      <c r="AN301" s="96">
        <v>8.6999999999999993</v>
      </c>
      <c r="AO301" s="96">
        <v>2.1</v>
      </c>
      <c r="AP301" s="96">
        <v>1.55</v>
      </c>
      <c r="AQ301" s="96">
        <v>0.33</v>
      </c>
      <c r="AR301" s="96">
        <v>46.4</v>
      </c>
      <c r="AS301" s="93">
        <v>6.9</v>
      </c>
      <c r="AT301" s="96">
        <v>13.1</v>
      </c>
      <c r="AU301" s="96">
        <v>1.5</v>
      </c>
      <c r="AV301" s="99">
        <v>142</v>
      </c>
      <c r="AW301" s="98">
        <v>18</v>
      </c>
      <c r="AX301" s="98">
        <v>47.7</v>
      </c>
      <c r="AY301" s="98">
        <v>5.6</v>
      </c>
      <c r="AZ301" s="98">
        <v>208</v>
      </c>
      <c r="BA301" s="98">
        <v>25</v>
      </c>
      <c r="BB301" s="98">
        <v>40.200000000000003</v>
      </c>
      <c r="BC301" s="98">
        <v>4.9000000000000004</v>
      </c>
      <c r="BD301" s="98">
        <v>361</v>
      </c>
      <c r="BE301" s="98">
        <v>43</v>
      </c>
      <c r="BF301" s="98">
        <v>72</v>
      </c>
      <c r="BG301" s="98">
        <v>9.3000000000000007</v>
      </c>
      <c r="BI301" s="93">
        <v>9.3000000000000007</v>
      </c>
      <c r="BJ301" s="98">
        <v>3.5</v>
      </c>
      <c r="BK301" s="98">
        <v>457000</v>
      </c>
      <c r="BL301" s="98">
        <v>49000</v>
      </c>
      <c r="BM301" s="98">
        <v>9400</v>
      </c>
      <c r="BN301" s="98">
        <v>1100</v>
      </c>
      <c r="BO301" s="99">
        <v>99.6</v>
      </c>
      <c r="BP301" s="98">
        <v>7.9</v>
      </c>
      <c r="BQ301" s="99">
        <v>105.2</v>
      </c>
      <c r="BR301" s="98">
        <v>8.3000000000000007</v>
      </c>
      <c r="BT301" s="95">
        <f t="shared" si="217"/>
        <v>0.29141274238227149</v>
      </c>
      <c r="BU301" s="96">
        <f t="shared" si="218"/>
        <v>3.9206349206349205</v>
      </c>
      <c r="BV301" s="96">
        <f t="shared" si="219"/>
        <v>48.617021276595743</v>
      </c>
      <c r="BW301" s="96">
        <f t="shared" si="220"/>
        <v>0.94676806083650178</v>
      </c>
      <c r="BX301" s="99">
        <f t="shared" si="244"/>
        <v>10.162631322015537</v>
      </c>
      <c r="BY301" s="96">
        <f t="shared" si="221"/>
        <v>3.9206349206349205</v>
      </c>
      <c r="BZ301" s="97">
        <f t="shared" si="222"/>
        <v>2.4503968253968252E-3</v>
      </c>
      <c r="CA301" s="95">
        <f t="shared" si="223"/>
        <v>0.23585045397739218</v>
      </c>
      <c r="CB301" s="99">
        <f t="shared" si="243"/>
        <v>172.16375742624069</v>
      </c>
      <c r="CC301" s="99">
        <f t="shared" si="243"/>
        <v>13.583262230397319</v>
      </c>
      <c r="CD301" s="100">
        <f t="shared" si="224"/>
        <v>766.35592122629635</v>
      </c>
      <c r="CE301" s="100">
        <f t="shared" si="239"/>
        <v>807.56912395898837</v>
      </c>
      <c r="CF301" s="100">
        <f t="shared" si="225"/>
        <v>41.88017490457721</v>
      </c>
      <c r="CG301" s="96">
        <f>2.28+3.99*LOG(AH301/((CB301*BI301)^(1/2)))</f>
        <v>1.4440336049105875</v>
      </c>
      <c r="CH301" s="96">
        <f t="shared" si="214"/>
        <v>0.46860424536438017</v>
      </c>
      <c r="CJ301" s="95">
        <f t="shared" si="245"/>
        <v>2.2362869198312239</v>
      </c>
      <c r="CK301" s="93">
        <f t="shared" si="226"/>
        <v>40.359477124183009</v>
      </c>
      <c r="CL301" s="93">
        <f t="shared" si="227"/>
        <v>7.052631578947369</v>
      </c>
      <c r="CM301" s="93">
        <f t="shared" si="228"/>
        <v>13.49036402569593</v>
      </c>
      <c r="CN301" s="93">
        <f t="shared" si="229"/>
        <v>56.862745098039213</v>
      </c>
      <c r="CO301" s="93">
        <f t="shared" si="230"/>
        <v>26.72413793103448</v>
      </c>
      <c r="CP301" s="93">
        <f t="shared" si="231"/>
        <v>225.79075425790754</v>
      </c>
      <c r="CQ301" s="93">
        <f t="shared" si="232"/>
        <v>350.26737967914437</v>
      </c>
      <c r="CR301" s="93">
        <f t="shared" si="233"/>
        <v>559.05511811023621</v>
      </c>
      <c r="CS301" s="93">
        <f t="shared" si="234"/>
        <v>842.75618374558314</v>
      </c>
      <c r="CT301" s="93">
        <f t="shared" si="235"/>
        <v>1256.797583081571</v>
      </c>
      <c r="CU301" s="93">
        <f t="shared" si="236"/>
        <v>1576.4705882352944</v>
      </c>
      <c r="CV301" s="93">
        <f t="shared" si="237"/>
        <v>2123.5294117647059</v>
      </c>
      <c r="CW301" s="93">
        <f t="shared" si="238"/>
        <v>2834.6456692913389</v>
      </c>
    </row>
    <row r="302" spans="1:101" s="98" customFormat="1">
      <c r="A302" s="3" t="s">
        <v>516</v>
      </c>
      <c r="B302" s="3" t="s">
        <v>268</v>
      </c>
      <c r="C302" s="3"/>
      <c r="D302" s="93">
        <v>5.4466999999999999</v>
      </c>
      <c r="E302" s="94">
        <v>0.18429999999999999</v>
      </c>
      <c r="F302" s="94">
        <v>1E-3</v>
      </c>
      <c r="G302" s="95">
        <v>13.694000000000001</v>
      </c>
      <c r="H302" s="96">
        <v>0.34</v>
      </c>
      <c r="I302" s="97">
        <v>0.54</v>
      </c>
      <c r="J302" s="95">
        <v>1.2E-2</v>
      </c>
      <c r="K302" s="96">
        <v>0.68835000000000002</v>
      </c>
      <c r="M302" s="99">
        <v>2783.4</v>
      </c>
      <c r="N302" s="98">
        <v>49</v>
      </c>
      <c r="O302" s="99">
        <v>2693.1</v>
      </c>
      <c r="P302" s="98">
        <v>2.6</v>
      </c>
      <c r="Q302" s="93">
        <v>-3.35</v>
      </c>
      <c r="R302" s="97">
        <v>0</v>
      </c>
      <c r="T302" s="98">
        <v>240</v>
      </c>
      <c r="U302" s="98">
        <v>180</v>
      </c>
      <c r="V302" s="98">
        <v>0.1</v>
      </c>
      <c r="W302" s="98">
        <v>1.1000000000000001</v>
      </c>
      <c r="X302" s="98">
        <v>0.35</v>
      </c>
      <c r="Y302" s="98">
        <v>0.37</v>
      </c>
      <c r="Z302" s="98">
        <v>4.5</v>
      </c>
      <c r="AA302" s="98">
        <v>1.5</v>
      </c>
      <c r="AB302" s="98">
        <v>1.5</v>
      </c>
      <c r="AC302" s="98">
        <v>0.44</v>
      </c>
      <c r="AD302" s="98">
        <v>1110</v>
      </c>
      <c r="AE302" s="98">
        <v>120</v>
      </c>
      <c r="AF302" s="95">
        <v>0.129</v>
      </c>
      <c r="AG302" s="97">
        <v>5.1999999999999998E-2</v>
      </c>
      <c r="AH302" s="96">
        <v>30.8</v>
      </c>
      <c r="AI302" s="96">
        <v>5.4</v>
      </c>
      <c r="AJ302" s="95">
        <v>0.14499999999999999</v>
      </c>
      <c r="AK302" s="95">
        <v>4.3999999999999997E-2</v>
      </c>
      <c r="AL302" s="96">
        <v>1.7</v>
      </c>
      <c r="AM302" s="96">
        <v>1.1000000000000001</v>
      </c>
      <c r="AN302" s="96">
        <v>3.2</v>
      </c>
      <c r="AO302" s="96">
        <v>1.1000000000000001</v>
      </c>
      <c r="AP302" s="96">
        <v>0.54</v>
      </c>
      <c r="AQ302" s="96">
        <v>0.17</v>
      </c>
      <c r="AR302" s="96">
        <v>23.3</v>
      </c>
      <c r="AS302" s="93">
        <v>3.9</v>
      </c>
      <c r="AT302" s="96">
        <v>7.4</v>
      </c>
      <c r="AU302" s="96">
        <v>1</v>
      </c>
      <c r="AV302" s="99">
        <v>87.8</v>
      </c>
      <c r="AW302" s="98">
        <v>7</v>
      </c>
      <c r="AX302" s="98">
        <v>34.200000000000003</v>
      </c>
      <c r="AY302" s="98">
        <v>4.0999999999999996</v>
      </c>
      <c r="AZ302" s="98">
        <v>185</v>
      </c>
      <c r="BA302" s="98">
        <v>21</v>
      </c>
      <c r="BB302" s="98">
        <v>34.700000000000003</v>
      </c>
      <c r="BC302" s="98">
        <v>4.0999999999999996</v>
      </c>
      <c r="BD302" s="98">
        <v>324</v>
      </c>
      <c r="BE302" s="98">
        <v>27</v>
      </c>
      <c r="BF302" s="98">
        <v>62.8</v>
      </c>
      <c r="BG302" s="98">
        <v>7.6</v>
      </c>
      <c r="BI302" s="93">
        <v>12.4</v>
      </c>
      <c r="BJ302" s="98">
        <v>2.2999999999999998</v>
      </c>
      <c r="BK302" s="98">
        <v>492000</v>
      </c>
      <c r="BL302" s="98">
        <v>33000</v>
      </c>
      <c r="BM302" s="98">
        <v>11100</v>
      </c>
      <c r="BN302" s="98">
        <v>1500</v>
      </c>
      <c r="BO302" s="99">
        <v>123.8</v>
      </c>
      <c r="BP302" s="98">
        <v>8.1999999999999993</v>
      </c>
      <c r="BQ302" s="99">
        <v>131.1</v>
      </c>
      <c r="BR302" s="98">
        <v>8.5</v>
      </c>
      <c r="BT302" s="95">
        <f t="shared" si="217"/>
        <v>0.40462962962962962</v>
      </c>
      <c r="BU302" s="96">
        <f t="shared" si="218"/>
        <v>18.117647058823529</v>
      </c>
      <c r="BV302" s="96">
        <f t="shared" si="219"/>
        <v>44.324324324324323</v>
      </c>
      <c r="BW302" s="96">
        <f t="shared" si="220"/>
        <v>0.94431731502669725</v>
      </c>
      <c r="BX302" s="99">
        <f t="shared" si="244"/>
        <v>55.214915737941304</v>
      </c>
      <c r="BY302" s="96">
        <f t="shared" si="221"/>
        <v>18.117647058823529</v>
      </c>
      <c r="BZ302" s="97">
        <f t="shared" si="222"/>
        <v>1.6322204557498676E-2</v>
      </c>
      <c r="CA302" s="95">
        <f t="shared" si="223"/>
        <v>0.19118967946894941</v>
      </c>
      <c r="CB302" s="99">
        <f t="shared" si="243"/>
        <v>214.55008173555279</v>
      </c>
      <c r="CC302" s="99">
        <f t="shared" si="243"/>
        <v>13.910569754021349</v>
      </c>
      <c r="CD302" s="100">
        <f t="shared" si="224"/>
        <v>795.26421761495169</v>
      </c>
      <c r="CE302" s="100">
        <f t="shared" si="239"/>
        <v>838.84959900338902</v>
      </c>
      <c r="CF302" s="100">
        <f t="shared" si="225"/>
        <v>24.254653394795987</v>
      </c>
      <c r="CG302" s="96">
        <f>2.28+3.99*LOG(AH302/((CB302*BI302)^(1/2)))</f>
        <v>1.3865413717223696</v>
      </c>
      <c r="CH302" s="96">
        <f t="shared" si="214"/>
        <v>0.43347502441134012</v>
      </c>
      <c r="CJ302" s="95">
        <f t="shared" si="245"/>
        <v>0.54430379746835444</v>
      </c>
      <c r="CK302" s="93">
        <f t="shared" si="226"/>
        <v>50.326797385620914</v>
      </c>
      <c r="CL302" s="93">
        <f t="shared" si="227"/>
        <v>1.5263157894736841</v>
      </c>
      <c r="CM302" s="93">
        <f t="shared" si="228"/>
        <v>3.6402569593147747</v>
      </c>
      <c r="CN302" s="93">
        <f t="shared" si="229"/>
        <v>20.915032679738562</v>
      </c>
      <c r="CO302" s="93">
        <f t="shared" si="230"/>
        <v>9.3103448275862064</v>
      </c>
      <c r="CP302" s="93">
        <f t="shared" si="231"/>
        <v>113.38199513381996</v>
      </c>
      <c r="CQ302" s="93">
        <f t="shared" si="232"/>
        <v>197.8609625668449</v>
      </c>
      <c r="CR302" s="93">
        <f t="shared" si="233"/>
        <v>345.66929133858264</v>
      </c>
      <c r="CS302" s="93">
        <f t="shared" si="234"/>
        <v>604.2402826855124</v>
      </c>
      <c r="CT302" s="93">
        <f t="shared" si="235"/>
        <v>1117.8247734138972</v>
      </c>
      <c r="CU302" s="93">
        <f t="shared" si="236"/>
        <v>1360.7843137254904</v>
      </c>
      <c r="CV302" s="93">
        <f t="shared" si="237"/>
        <v>1905.8823529411764</v>
      </c>
      <c r="CW302" s="93">
        <f t="shared" si="238"/>
        <v>2472.4409448818897</v>
      </c>
    </row>
    <row r="303" spans="1:101" s="118" customFormat="1">
      <c r="A303" s="111" t="s">
        <v>517</v>
      </c>
      <c r="B303" s="111" t="s">
        <v>268</v>
      </c>
      <c r="C303" s="111"/>
      <c r="D303" s="113">
        <v>5.7801999999999998</v>
      </c>
      <c r="E303" s="114">
        <v>0.18740000000000001</v>
      </c>
      <c r="F303" s="114">
        <v>1.6999999999999999E-3</v>
      </c>
      <c r="G303" s="115">
        <v>14.56</v>
      </c>
      <c r="H303" s="116">
        <v>0.38</v>
      </c>
      <c r="I303" s="117">
        <v>0.5645</v>
      </c>
      <c r="J303" s="115">
        <v>1.2999999999999999E-2</v>
      </c>
      <c r="K303" s="116">
        <v>0.67061999999999999</v>
      </c>
      <c r="M303" s="119">
        <v>2885</v>
      </c>
      <c r="N303" s="118">
        <v>54</v>
      </c>
      <c r="O303" s="119">
        <v>2721.3</v>
      </c>
      <c r="P303" s="118">
        <v>6</v>
      </c>
      <c r="Q303" s="113">
        <v>-6.13</v>
      </c>
      <c r="R303" s="117">
        <v>0</v>
      </c>
      <c r="T303" s="118">
        <v>290</v>
      </c>
      <c r="U303" s="118">
        <v>230</v>
      </c>
      <c r="V303" s="118">
        <v>1.2</v>
      </c>
      <c r="W303" s="118">
        <v>1.9</v>
      </c>
      <c r="X303" s="118">
        <v>0.2</v>
      </c>
      <c r="Y303" s="118">
        <v>0.21</v>
      </c>
      <c r="Z303" s="118">
        <v>1.8</v>
      </c>
      <c r="AA303" s="118">
        <v>0.79</v>
      </c>
      <c r="AB303" s="118">
        <v>0.9</v>
      </c>
      <c r="AC303" s="118">
        <v>0.61</v>
      </c>
      <c r="AD303" s="118">
        <v>860</v>
      </c>
      <c r="AE303" s="118">
        <v>120</v>
      </c>
      <c r="AF303" s="115">
        <v>1.22</v>
      </c>
      <c r="AG303" s="117">
        <v>0.28000000000000003</v>
      </c>
      <c r="AH303" s="116">
        <v>14.9</v>
      </c>
      <c r="AI303" s="116">
        <v>3.2</v>
      </c>
      <c r="AJ303" s="115">
        <v>0.46</v>
      </c>
      <c r="AK303" s="115">
        <v>0.19</v>
      </c>
      <c r="AL303" s="116">
        <v>3.4</v>
      </c>
      <c r="AM303" s="116">
        <v>1.2</v>
      </c>
      <c r="AN303" s="116">
        <v>3.4</v>
      </c>
      <c r="AO303" s="116">
        <v>1.2</v>
      </c>
      <c r="AP303" s="116">
        <v>1</v>
      </c>
      <c r="AQ303" s="116">
        <v>0.4</v>
      </c>
      <c r="AR303" s="116">
        <v>27.1</v>
      </c>
      <c r="AS303" s="113">
        <v>6</v>
      </c>
      <c r="AT303" s="116">
        <v>8.6</v>
      </c>
      <c r="AU303" s="116">
        <v>1.8</v>
      </c>
      <c r="AV303" s="119">
        <v>81</v>
      </c>
      <c r="AW303" s="118">
        <v>11</v>
      </c>
      <c r="AX303" s="118">
        <v>28.7</v>
      </c>
      <c r="AY303" s="118">
        <v>4.5999999999999996</v>
      </c>
      <c r="AZ303" s="118">
        <v>124</v>
      </c>
      <c r="BA303" s="118">
        <v>27</v>
      </c>
      <c r="BB303" s="118">
        <v>25.4</v>
      </c>
      <c r="BC303" s="118">
        <v>4.2</v>
      </c>
      <c r="BD303" s="118">
        <v>213</v>
      </c>
      <c r="BE303" s="118">
        <v>47</v>
      </c>
      <c r="BF303" s="118">
        <v>42.2</v>
      </c>
      <c r="BG303" s="118">
        <v>6.9</v>
      </c>
      <c r="BI303" s="113">
        <v>21.1</v>
      </c>
      <c r="BJ303" s="118">
        <v>4.8</v>
      </c>
      <c r="BK303" s="118">
        <v>549000</v>
      </c>
      <c r="BL303" s="118">
        <v>71000</v>
      </c>
      <c r="BM303" s="118">
        <v>9900</v>
      </c>
      <c r="BN303" s="118">
        <v>1600</v>
      </c>
      <c r="BO303" s="119">
        <v>40.700000000000003</v>
      </c>
      <c r="BP303" s="118">
        <v>4.4000000000000004</v>
      </c>
      <c r="BQ303" s="119">
        <v>42.5</v>
      </c>
      <c r="BR303" s="118">
        <v>5.2</v>
      </c>
      <c r="BT303" s="115"/>
      <c r="BU303" s="116"/>
      <c r="BV303" s="116"/>
      <c r="BW303" s="116"/>
      <c r="BX303" s="119"/>
      <c r="BY303" s="116"/>
      <c r="BZ303" s="117"/>
      <c r="CA303" s="115"/>
      <c r="CB303" s="99"/>
      <c r="CC303" s="99"/>
      <c r="CD303" s="120"/>
      <c r="CE303" s="100"/>
      <c r="CF303" s="100"/>
      <c r="CG303" s="116"/>
      <c r="CH303" s="96"/>
      <c r="CJ303" s="115">
        <f t="shared" si="245"/>
        <v>5.147679324894515</v>
      </c>
      <c r="CK303" s="113">
        <f t="shared" si="226"/>
        <v>24.346405228758172</v>
      </c>
      <c r="CL303" s="113">
        <f t="shared" si="227"/>
        <v>4.8421052631578947</v>
      </c>
      <c r="CM303" s="113">
        <f t="shared" si="228"/>
        <v>7.2805139186295493</v>
      </c>
      <c r="CN303" s="113">
        <f t="shared" si="229"/>
        <v>22.222222222222221</v>
      </c>
      <c r="CO303" s="113">
        <f t="shared" si="230"/>
        <v>17.241379310344826</v>
      </c>
      <c r="CP303" s="113">
        <f t="shared" si="231"/>
        <v>131.87347931873481</v>
      </c>
      <c r="CQ303" s="113">
        <f t="shared" si="232"/>
        <v>229.94652406417109</v>
      </c>
      <c r="CR303" s="113">
        <f t="shared" si="233"/>
        <v>318.89763779527561</v>
      </c>
      <c r="CS303" s="113">
        <f t="shared" si="234"/>
        <v>507.06713780918727</v>
      </c>
      <c r="CT303" s="113">
        <f t="shared" si="235"/>
        <v>749.24471299093648</v>
      </c>
      <c r="CU303" s="113">
        <f t="shared" si="236"/>
        <v>996.07843137254906</v>
      </c>
      <c r="CV303" s="113">
        <f t="shared" si="237"/>
        <v>1252.9411764705881</v>
      </c>
      <c r="CW303" s="113">
        <f t="shared" si="238"/>
        <v>1661.4173228346458</v>
      </c>
    </row>
    <row r="304" spans="1:101" s="98" customFormat="1">
      <c r="A304" s="3" t="s">
        <v>518</v>
      </c>
      <c r="B304" s="3" t="s">
        <v>268</v>
      </c>
      <c r="C304" s="3"/>
      <c r="D304" s="93">
        <v>6.6262999999999996</v>
      </c>
      <c r="E304" s="94">
        <v>0.18321999999999999</v>
      </c>
      <c r="F304" s="94">
        <v>7.1000000000000002E-4</v>
      </c>
      <c r="G304" s="95">
        <v>13.701000000000001</v>
      </c>
      <c r="H304" s="96">
        <v>0.33</v>
      </c>
      <c r="I304" s="97">
        <v>0.54330000000000001</v>
      </c>
      <c r="J304" s="95">
        <v>1.2E-2</v>
      </c>
      <c r="K304" s="96">
        <v>0.75348999999999999</v>
      </c>
      <c r="M304" s="99">
        <v>2797.2</v>
      </c>
      <c r="N304" s="98">
        <v>49</v>
      </c>
      <c r="O304" s="99">
        <v>2682.4</v>
      </c>
      <c r="P304" s="98">
        <v>2.7</v>
      </c>
      <c r="Q304" s="93">
        <v>-4.28</v>
      </c>
      <c r="R304" s="97">
        <v>0</v>
      </c>
      <c r="T304" s="98">
        <v>710</v>
      </c>
      <c r="U304" s="98">
        <v>220</v>
      </c>
      <c r="V304" s="98">
        <v>2</v>
      </c>
      <c r="W304" s="98">
        <v>1.8</v>
      </c>
      <c r="X304" s="98">
        <v>0.53</v>
      </c>
      <c r="Y304" s="98">
        <v>0.32</v>
      </c>
      <c r="Z304" s="98">
        <v>5.8</v>
      </c>
      <c r="AA304" s="98">
        <v>1.5</v>
      </c>
      <c r="AB304" s="98">
        <v>1.3</v>
      </c>
      <c r="AC304" s="98">
        <v>0.49</v>
      </c>
      <c r="AD304" s="98">
        <v>4090</v>
      </c>
      <c r="AE304" s="98">
        <v>410</v>
      </c>
      <c r="AF304" s="95">
        <v>0.34499999999999997</v>
      </c>
      <c r="AG304" s="97">
        <v>6.2E-2</v>
      </c>
      <c r="AH304" s="96">
        <v>64.8</v>
      </c>
      <c r="AI304" s="96">
        <v>7.9</v>
      </c>
      <c r="AJ304" s="95">
        <v>1.1599999999999999</v>
      </c>
      <c r="AK304" s="95">
        <v>0.15</v>
      </c>
      <c r="AL304" s="96">
        <v>17.899999999999999</v>
      </c>
      <c r="AM304" s="96">
        <v>3.7</v>
      </c>
      <c r="AN304" s="96">
        <v>37.5</v>
      </c>
      <c r="AO304" s="96">
        <v>4.4000000000000004</v>
      </c>
      <c r="AP304" s="96">
        <v>6.23</v>
      </c>
      <c r="AQ304" s="96">
        <v>0.77</v>
      </c>
      <c r="AR304" s="96">
        <v>140</v>
      </c>
      <c r="AS304" s="93">
        <v>17</v>
      </c>
      <c r="AT304" s="96">
        <v>43.4</v>
      </c>
      <c r="AU304" s="96">
        <v>4.3</v>
      </c>
      <c r="AV304" s="99">
        <v>447</v>
      </c>
      <c r="AW304" s="98">
        <v>46</v>
      </c>
      <c r="AX304" s="98">
        <v>144</v>
      </c>
      <c r="AY304" s="98">
        <v>18</v>
      </c>
      <c r="AZ304" s="98">
        <v>659</v>
      </c>
      <c r="BA304" s="98">
        <v>71</v>
      </c>
      <c r="BB304" s="98">
        <v>117.2</v>
      </c>
      <c r="BC304" s="98">
        <v>8.3000000000000007</v>
      </c>
      <c r="BD304" s="98">
        <v>950</v>
      </c>
      <c r="BE304" s="98">
        <v>100</v>
      </c>
      <c r="BF304" s="98">
        <v>187</v>
      </c>
      <c r="BG304" s="98">
        <v>16</v>
      </c>
      <c r="BI304" s="93">
        <v>7</v>
      </c>
      <c r="BJ304" s="98">
        <v>3</v>
      </c>
      <c r="BK304" s="98">
        <v>500000</v>
      </c>
      <c r="BL304" s="98">
        <v>55000</v>
      </c>
      <c r="BM304" s="98">
        <v>8260</v>
      </c>
      <c r="BN304" s="98">
        <v>870</v>
      </c>
      <c r="BO304" s="99">
        <v>300</v>
      </c>
      <c r="BP304" s="98">
        <v>27</v>
      </c>
      <c r="BQ304" s="99">
        <v>250</v>
      </c>
      <c r="BR304" s="98">
        <v>21</v>
      </c>
      <c r="BT304" s="95">
        <f t="shared" si="217"/>
        <v>0.26315789473684209</v>
      </c>
      <c r="BU304" s="96">
        <f t="shared" si="218"/>
        <v>3.6201117318435756</v>
      </c>
      <c r="BV304" s="96">
        <f t="shared" si="219"/>
        <v>60.53268765133172</v>
      </c>
      <c r="BW304" s="96">
        <f t="shared" si="220"/>
        <v>1.2</v>
      </c>
      <c r="BX304" s="99">
        <f t="shared" si="244"/>
        <v>25.114296499221918</v>
      </c>
      <c r="BY304" s="96">
        <f t="shared" si="221"/>
        <v>3.6201117318435756</v>
      </c>
      <c r="BZ304" s="97">
        <f t="shared" si="222"/>
        <v>8.8511289287128989E-4</v>
      </c>
      <c r="CA304" s="95">
        <f t="shared" si="223"/>
        <v>0.26286455541713732</v>
      </c>
      <c r="CB304" s="99">
        <f t="shared" si="243"/>
        <v>409.13440453003966</v>
      </c>
      <c r="CC304" s="99">
        <f t="shared" si="243"/>
        <v>34.367289980523331</v>
      </c>
      <c r="CD304" s="100">
        <f t="shared" si="224"/>
        <v>739.30248567452486</v>
      </c>
      <c r="CE304" s="100">
        <f t="shared" si="239"/>
        <v>778.35813374744305</v>
      </c>
      <c r="CF304" s="100">
        <f t="shared" si="225"/>
        <v>44.92823301586462</v>
      </c>
      <c r="CG304" s="96">
        <f>2.28+3.99*LOG(AH304/((CB304*BI304)^(1/2)))</f>
        <v>2.611541011000484</v>
      </c>
      <c r="CH304" s="96">
        <f t="shared" ref="CH304:CH340" si="246">(4*0.1^2+4*0.12^2*LOG((AH304/(CB304*BI304)^0.5)^2)+3.99*(BJ304/2)^2/(BI304^2)+3.99^2*(CC304/2)^2/(CB304^2)+4*3.99*(AI304/2)^2/(AH304^2))^(1/2)</f>
        <v>0.56583805898405015</v>
      </c>
      <c r="CJ304" s="95">
        <f t="shared" si="245"/>
        <v>1.4556962025316456</v>
      </c>
      <c r="CK304" s="93">
        <f t="shared" si="226"/>
        <v>105.88235294117646</v>
      </c>
      <c r="CL304" s="93">
        <f t="shared" si="227"/>
        <v>12.210526315789473</v>
      </c>
      <c r="CM304" s="93">
        <f t="shared" si="228"/>
        <v>38.329764453961452</v>
      </c>
      <c r="CN304" s="93">
        <f t="shared" si="229"/>
        <v>245.09803921568627</v>
      </c>
      <c r="CO304" s="93">
        <f t="shared" si="230"/>
        <v>107.41379310344828</v>
      </c>
      <c r="CP304" s="93">
        <f t="shared" si="231"/>
        <v>681.26520681265208</v>
      </c>
      <c r="CQ304" s="93">
        <f t="shared" si="232"/>
        <v>1160.4278074866309</v>
      </c>
      <c r="CR304" s="93">
        <f t="shared" si="233"/>
        <v>1759.8425196850394</v>
      </c>
      <c r="CS304" s="93">
        <f t="shared" si="234"/>
        <v>2544.1696113074204</v>
      </c>
      <c r="CT304" s="93">
        <f t="shared" si="235"/>
        <v>3981.8731117824773</v>
      </c>
      <c r="CU304" s="93">
        <f t="shared" si="236"/>
        <v>4596.0784313725499</v>
      </c>
      <c r="CV304" s="93">
        <f t="shared" si="237"/>
        <v>5588.2352941176468</v>
      </c>
      <c r="CW304" s="93">
        <f t="shared" si="238"/>
        <v>7362.2047244094492</v>
      </c>
    </row>
    <row r="305" spans="1:101" s="118" customFormat="1">
      <c r="A305" s="111" t="s">
        <v>519</v>
      </c>
      <c r="B305" s="111" t="s">
        <v>268</v>
      </c>
      <c r="C305" s="111"/>
      <c r="D305" s="113">
        <v>6.0180999999999996</v>
      </c>
      <c r="E305" s="114">
        <v>0.18429999999999999</v>
      </c>
      <c r="F305" s="114">
        <v>1.1999999999999999E-3</v>
      </c>
      <c r="G305" s="115">
        <v>13.5</v>
      </c>
      <c r="H305" s="116">
        <v>0.35</v>
      </c>
      <c r="I305" s="117">
        <v>0.53210000000000002</v>
      </c>
      <c r="J305" s="115">
        <v>1.2E-2</v>
      </c>
      <c r="K305" s="116">
        <v>0.74480999999999997</v>
      </c>
      <c r="M305" s="119">
        <v>2750</v>
      </c>
      <c r="N305" s="118">
        <v>50</v>
      </c>
      <c r="O305" s="119">
        <v>2692.2</v>
      </c>
      <c r="P305" s="118">
        <v>6.1</v>
      </c>
      <c r="Q305" s="113">
        <v>-2.15</v>
      </c>
      <c r="R305" s="117">
        <v>0</v>
      </c>
      <c r="T305" s="118">
        <v>420</v>
      </c>
      <c r="U305" s="118">
        <v>240</v>
      </c>
      <c r="V305" s="118">
        <v>0.99</v>
      </c>
      <c r="W305" s="118">
        <v>0.97</v>
      </c>
      <c r="X305" s="118">
        <v>0.61</v>
      </c>
      <c r="Y305" s="118">
        <v>0.46</v>
      </c>
      <c r="Z305" s="118">
        <v>2.69</v>
      </c>
      <c r="AA305" s="118">
        <v>0.72</v>
      </c>
      <c r="AB305" s="118">
        <v>0.43</v>
      </c>
      <c r="AC305" s="118">
        <v>0.28000000000000003</v>
      </c>
      <c r="AD305" s="118">
        <v>2280</v>
      </c>
      <c r="AE305" s="118">
        <v>290</v>
      </c>
      <c r="AF305" s="115">
        <v>1</v>
      </c>
      <c r="AG305" s="117">
        <v>0.16</v>
      </c>
      <c r="AH305" s="116">
        <v>21.6</v>
      </c>
      <c r="AI305" s="116">
        <v>3.1</v>
      </c>
      <c r="AJ305" s="115">
        <v>0.69</v>
      </c>
      <c r="AK305" s="115">
        <v>0.17</v>
      </c>
      <c r="AL305" s="116">
        <v>8.3000000000000007</v>
      </c>
      <c r="AM305" s="116">
        <v>1.5</v>
      </c>
      <c r="AN305" s="116">
        <v>15.2</v>
      </c>
      <c r="AO305" s="116">
        <v>3.1</v>
      </c>
      <c r="AP305" s="116">
        <v>3.3</v>
      </c>
      <c r="AQ305" s="116">
        <v>0.63</v>
      </c>
      <c r="AR305" s="116">
        <v>73</v>
      </c>
      <c r="AS305" s="113">
        <v>12</v>
      </c>
      <c r="AT305" s="116">
        <v>20.399999999999999</v>
      </c>
      <c r="AU305" s="116">
        <v>2</v>
      </c>
      <c r="AV305" s="119">
        <v>237</v>
      </c>
      <c r="AW305" s="118">
        <v>28</v>
      </c>
      <c r="AX305" s="118">
        <v>76</v>
      </c>
      <c r="AY305" s="118">
        <v>10</v>
      </c>
      <c r="AZ305" s="118">
        <v>328</v>
      </c>
      <c r="BA305" s="118">
        <v>27</v>
      </c>
      <c r="BB305" s="118">
        <v>62.6</v>
      </c>
      <c r="BC305" s="118">
        <v>7.5</v>
      </c>
      <c r="BD305" s="118">
        <v>519</v>
      </c>
      <c r="BE305" s="118">
        <v>61</v>
      </c>
      <c r="BF305" s="118">
        <v>97.7</v>
      </c>
      <c r="BG305" s="118">
        <v>9.8000000000000007</v>
      </c>
      <c r="BI305" s="113">
        <v>21.6</v>
      </c>
      <c r="BJ305" s="118">
        <v>5.0999999999999996</v>
      </c>
      <c r="BK305" s="118">
        <v>454000</v>
      </c>
      <c r="BL305" s="118">
        <v>35000</v>
      </c>
      <c r="BM305" s="118">
        <v>8470</v>
      </c>
      <c r="BN305" s="118">
        <v>750</v>
      </c>
      <c r="BO305" s="119">
        <v>101.1</v>
      </c>
      <c r="BP305" s="118">
        <v>8.3000000000000007</v>
      </c>
      <c r="BQ305" s="119">
        <v>86.7</v>
      </c>
      <c r="BR305" s="118">
        <v>7.2</v>
      </c>
      <c r="BT305" s="115"/>
      <c r="BU305" s="116"/>
      <c r="BV305" s="116"/>
      <c r="BW305" s="116"/>
      <c r="BX305" s="119"/>
      <c r="BY305" s="116"/>
      <c r="BZ305" s="117"/>
      <c r="CA305" s="115"/>
      <c r="CB305" s="99">
        <f t="shared" si="243"/>
        <v>141.88781149101777</v>
      </c>
      <c r="CC305" s="99">
        <f t="shared" si="243"/>
        <v>11.783070850465144</v>
      </c>
      <c r="CD305" s="120"/>
      <c r="CE305" s="120"/>
      <c r="CF305" s="100"/>
      <c r="CG305" s="116"/>
      <c r="CH305" s="96"/>
      <c r="CJ305" s="115">
        <f t="shared" si="245"/>
        <v>4.2194092827004219</v>
      </c>
      <c r="CK305" s="113">
        <f t="shared" si="226"/>
        <v>35.294117647058826</v>
      </c>
      <c r="CL305" s="113">
        <f t="shared" si="227"/>
        <v>7.2631578947368416</v>
      </c>
      <c r="CM305" s="113">
        <f t="shared" si="228"/>
        <v>17.773019271948609</v>
      </c>
      <c r="CN305" s="113">
        <f t="shared" si="229"/>
        <v>99.346405228758172</v>
      </c>
      <c r="CO305" s="113">
        <f t="shared" si="230"/>
        <v>56.896551724137922</v>
      </c>
      <c r="CP305" s="113">
        <f t="shared" si="231"/>
        <v>355.23114355231144</v>
      </c>
      <c r="CQ305" s="113">
        <f t="shared" si="232"/>
        <v>545.45454545454538</v>
      </c>
      <c r="CR305" s="113">
        <f t="shared" si="233"/>
        <v>933.07086614173227</v>
      </c>
      <c r="CS305" s="113">
        <f t="shared" si="234"/>
        <v>1342.756183745583</v>
      </c>
      <c r="CT305" s="113">
        <f t="shared" si="235"/>
        <v>1981.8731117824773</v>
      </c>
      <c r="CU305" s="113">
        <f t="shared" si="236"/>
        <v>2454.9019607843138</v>
      </c>
      <c r="CV305" s="113">
        <f t="shared" si="237"/>
        <v>3052.9411764705878</v>
      </c>
      <c r="CW305" s="113">
        <f t="shared" si="238"/>
        <v>3846.4566929133862</v>
      </c>
    </row>
    <row r="306" spans="1:101" s="107" customFormat="1">
      <c r="A306" s="101" t="s">
        <v>281</v>
      </c>
      <c r="B306" s="101"/>
      <c r="C306" s="101"/>
      <c r="D306" s="102"/>
      <c r="E306" s="103"/>
      <c r="F306" s="103"/>
      <c r="G306" s="104"/>
      <c r="H306" s="105"/>
      <c r="I306" s="106"/>
      <c r="J306" s="104"/>
      <c r="K306" s="105"/>
      <c r="M306" s="108"/>
      <c r="O306" s="108"/>
      <c r="R306" s="106"/>
      <c r="AF306" s="104"/>
      <c r="AG306" s="106"/>
      <c r="AH306" s="105"/>
      <c r="AI306" s="105"/>
      <c r="AJ306" s="104"/>
      <c r="AK306" s="104"/>
      <c r="AL306" s="105"/>
      <c r="AM306" s="105"/>
      <c r="AN306" s="105"/>
      <c r="AO306" s="105"/>
      <c r="AP306" s="105"/>
      <c r="AQ306" s="105"/>
      <c r="AR306" s="105"/>
      <c r="AS306" s="102"/>
      <c r="AT306" s="105"/>
      <c r="AU306" s="105"/>
      <c r="AV306" s="108"/>
      <c r="BI306" s="102"/>
      <c r="BO306" s="108"/>
      <c r="BQ306" s="108"/>
      <c r="BT306" s="95"/>
      <c r="BU306" s="96"/>
      <c r="BV306" s="96"/>
      <c r="BW306" s="96"/>
      <c r="BX306" s="108">
        <f>AVERAGE(BX266:BX304)</f>
        <v>83.200584937929037</v>
      </c>
      <c r="BY306" s="96"/>
      <c r="BZ306" s="97"/>
      <c r="CA306" s="104">
        <f>AVERAGE(CA266:CA296,CA298:CA302,CA304)</f>
        <v>0.22214536144735045</v>
      </c>
      <c r="CB306" s="99"/>
      <c r="CC306" s="99"/>
      <c r="CD306" s="109">
        <f>AVERAGE(CD266:CD304)</f>
        <v>767.42742853204891</v>
      </c>
      <c r="CE306" s="109">
        <f>AVERAGE(CE266:CE304)</f>
        <v>808.75835192448903</v>
      </c>
      <c r="CF306" s="100"/>
      <c r="CG306" s="105">
        <f>AVERAGE(CG266:CG304)</f>
        <v>1.2205946555822134</v>
      </c>
      <c r="CH306" s="105">
        <f>AVERAGE(CH266:CH304)</f>
        <v>0.53589322653796345</v>
      </c>
      <c r="CI306" s="105"/>
      <c r="CJ306" s="95"/>
      <c r="CK306" s="93"/>
      <c r="CL306" s="93"/>
      <c r="CM306" s="93"/>
      <c r="CN306" s="93"/>
      <c r="CO306" s="93"/>
      <c r="CP306" s="93"/>
      <c r="CQ306" s="93"/>
      <c r="CR306" s="93"/>
      <c r="CS306" s="93"/>
      <c r="CT306" s="93"/>
      <c r="CU306" s="93"/>
      <c r="CV306" s="93"/>
      <c r="CW306" s="93"/>
    </row>
    <row r="307" spans="1:101" s="107" customFormat="1">
      <c r="A307" s="101" t="s">
        <v>282</v>
      </c>
      <c r="B307" s="101"/>
      <c r="C307" s="101"/>
      <c r="D307" s="102"/>
      <c r="E307" s="103"/>
      <c r="F307" s="103"/>
      <c r="G307" s="104"/>
      <c r="H307" s="105"/>
      <c r="I307" s="106"/>
      <c r="J307" s="104"/>
      <c r="K307" s="105"/>
      <c r="M307" s="108"/>
      <c r="O307" s="108"/>
      <c r="R307" s="106"/>
      <c r="AF307" s="104"/>
      <c r="AG307" s="106"/>
      <c r="AH307" s="105"/>
      <c r="AI307" s="105"/>
      <c r="AJ307" s="104"/>
      <c r="AK307" s="104"/>
      <c r="AL307" s="105"/>
      <c r="AM307" s="105"/>
      <c r="AN307" s="105"/>
      <c r="AO307" s="105"/>
      <c r="AP307" s="105"/>
      <c r="AQ307" s="105"/>
      <c r="AR307" s="105"/>
      <c r="AS307" s="102"/>
      <c r="AT307" s="105"/>
      <c r="AU307" s="105"/>
      <c r="AV307" s="108"/>
      <c r="BI307" s="102"/>
      <c r="BO307" s="108"/>
      <c r="BQ307" s="108"/>
      <c r="BT307" s="95"/>
      <c r="BU307" s="96"/>
      <c r="BV307" s="96"/>
      <c r="BW307" s="96"/>
      <c r="BX307" s="108">
        <f>MEDIAN(BX266:BX304)</f>
        <v>52.417338872076144</v>
      </c>
      <c r="BY307" s="96"/>
      <c r="BZ307" s="97"/>
      <c r="CA307" s="104">
        <f>MEDIAN(CA266:CA304)</f>
        <v>0.22373636908202521</v>
      </c>
      <c r="CB307" s="99"/>
      <c r="CC307" s="99"/>
      <c r="CD307" s="109">
        <f>MEDIAN(CD266:CD304)</f>
        <v>768.44034257399665</v>
      </c>
      <c r="CE307" s="109">
        <f>MEDIAN(CE266:CE304)</f>
        <v>809.82228264021762</v>
      </c>
      <c r="CF307" s="100"/>
      <c r="CG307" s="105">
        <f>MEDIAN(CG266:CG304)</f>
        <v>1.105003387704756</v>
      </c>
      <c r="CH307" s="105">
        <f>MEDIAN(CH266:CH304)</f>
        <v>0.53282899535879968</v>
      </c>
      <c r="CJ307" s="95"/>
      <c r="CK307" s="93"/>
      <c r="CL307" s="93"/>
      <c r="CM307" s="93"/>
      <c r="CN307" s="93"/>
      <c r="CO307" s="93"/>
      <c r="CP307" s="93"/>
      <c r="CQ307" s="93"/>
      <c r="CR307" s="93"/>
      <c r="CS307" s="93"/>
      <c r="CT307" s="93"/>
      <c r="CU307" s="93"/>
      <c r="CV307" s="93"/>
      <c r="CW307" s="93"/>
    </row>
    <row r="308" spans="1:101" s="107" customFormat="1">
      <c r="A308" s="101" t="s">
        <v>204</v>
      </c>
      <c r="B308" s="101"/>
      <c r="C308" s="101"/>
      <c r="D308" s="102"/>
      <c r="E308" s="103"/>
      <c r="F308" s="103"/>
      <c r="G308" s="104"/>
      <c r="H308" s="105"/>
      <c r="I308" s="106"/>
      <c r="J308" s="104"/>
      <c r="K308" s="105"/>
      <c r="M308" s="108"/>
      <c r="O308" s="108"/>
      <c r="R308" s="106"/>
      <c r="AF308" s="104"/>
      <c r="AG308" s="106"/>
      <c r="AH308" s="105"/>
      <c r="AI308" s="105"/>
      <c r="AJ308" s="104"/>
      <c r="AK308" s="104"/>
      <c r="AL308" s="105"/>
      <c r="AM308" s="105"/>
      <c r="AN308" s="105"/>
      <c r="AO308" s="105"/>
      <c r="AP308" s="105"/>
      <c r="AQ308" s="105"/>
      <c r="AR308" s="105"/>
      <c r="AS308" s="102"/>
      <c r="AT308" s="105"/>
      <c r="AU308" s="105"/>
      <c r="AV308" s="108"/>
      <c r="BI308" s="102"/>
      <c r="BO308" s="108"/>
      <c r="BQ308" s="108"/>
      <c r="BT308" s="95"/>
      <c r="BU308" s="96"/>
      <c r="BV308" s="96"/>
      <c r="BW308" s="96"/>
      <c r="BX308" s="108">
        <f>_xlfn.STDEV.S(BX266:BX304)</f>
        <v>95.508703324354528</v>
      </c>
      <c r="BY308" s="96"/>
      <c r="BZ308" s="97"/>
      <c r="CA308" s="104">
        <f>_xlfn.STDEV.S(CA266:CA304)</f>
        <v>4.9892064991340919E-2</v>
      </c>
      <c r="CB308" s="99"/>
      <c r="CC308" s="99"/>
      <c r="CD308" s="109">
        <f>_xlfn.STDEV.S(CD266:CD304)</f>
        <v>27.814936491351272</v>
      </c>
      <c r="CE308" s="109">
        <f>_xlfn.STDEV.S(CE266:CE304)</f>
        <v>30.056268439408282</v>
      </c>
      <c r="CF308" s="100"/>
      <c r="CG308" s="105">
        <f>_xlfn.STDEV.S(CG266:CG304)</f>
        <v>0.41448351051969601</v>
      </c>
      <c r="CH308" s="105">
        <f>_xlfn.STDEV.S(CH266:CH304)</f>
        <v>0.10896423466611192</v>
      </c>
      <c r="CI308" s="105"/>
      <c r="CJ308" s="95"/>
      <c r="CK308" s="93"/>
      <c r="CL308" s="93"/>
      <c r="CM308" s="93"/>
      <c r="CN308" s="93"/>
      <c r="CO308" s="93"/>
      <c r="CP308" s="93"/>
      <c r="CQ308" s="93"/>
      <c r="CR308" s="93"/>
      <c r="CS308" s="93"/>
      <c r="CT308" s="93"/>
      <c r="CU308" s="93"/>
      <c r="CV308" s="93"/>
      <c r="CW308" s="93"/>
    </row>
    <row r="309" spans="1:101" s="107" customFormat="1">
      <c r="A309" s="101" t="s">
        <v>283</v>
      </c>
      <c r="B309" s="101"/>
      <c r="C309" s="101"/>
      <c r="D309" s="102"/>
      <c r="E309" s="103"/>
      <c r="F309" s="103"/>
      <c r="G309" s="104"/>
      <c r="H309" s="105"/>
      <c r="I309" s="106"/>
      <c r="J309" s="104"/>
      <c r="K309" s="105"/>
      <c r="M309" s="108"/>
      <c r="O309" s="108"/>
      <c r="R309" s="106"/>
      <c r="AF309" s="104"/>
      <c r="AG309" s="106"/>
      <c r="AH309" s="105"/>
      <c r="AI309" s="105"/>
      <c r="AJ309" s="104"/>
      <c r="AK309" s="104"/>
      <c r="AL309" s="105"/>
      <c r="AM309" s="105"/>
      <c r="AN309" s="105"/>
      <c r="AO309" s="105"/>
      <c r="AP309" s="105"/>
      <c r="AQ309" s="105"/>
      <c r="AR309" s="105"/>
      <c r="AS309" s="102"/>
      <c r="AT309" s="105"/>
      <c r="AU309" s="105"/>
      <c r="AV309" s="108"/>
      <c r="BI309" s="102"/>
      <c r="BO309" s="108"/>
      <c r="BQ309" s="108"/>
      <c r="BT309" s="95"/>
      <c r="BU309" s="96"/>
      <c r="BV309" s="96"/>
      <c r="BW309" s="96"/>
      <c r="BX309" s="105">
        <f>BX308/BX306</f>
        <v>1.1479330751773902</v>
      </c>
      <c r="BY309" s="96"/>
      <c r="BZ309" s="97"/>
      <c r="CA309" s="104">
        <f>CA308/CA306</f>
        <v>0.22459197286982555</v>
      </c>
      <c r="CB309" s="99"/>
      <c r="CC309" s="99"/>
      <c r="CD309" s="110">
        <f>CD308/CD306</f>
        <v>3.6244386709706554E-2</v>
      </c>
      <c r="CE309" s="110">
        <f>CE308/CE306</f>
        <v>3.7163472090133709E-2</v>
      </c>
      <c r="CF309" s="100"/>
      <c r="CG309" s="105">
        <f>CG308/CG306</f>
        <v>0.3395750658288692</v>
      </c>
      <c r="CH309" s="105">
        <f>CH308/CH306</f>
        <v>0.20333198717598036</v>
      </c>
      <c r="CJ309" s="95"/>
      <c r="CK309" s="93"/>
      <c r="CL309" s="93"/>
      <c r="CM309" s="93"/>
      <c r="CN309" s="93"/>
      <c r="CO309" s="93"/>
      <c r="CP309" s="93"/>
      <c r="CQ309" s="93"/>
      <c r="CR309" s="93"/>
      <c r="CS309" s="93"/>
      <c r="CT309" s="93"/>
      <c r="CU309" s="93"/>
      <c r="CV309" s="93"/>
      <c r="CW309" s="93"/>
    </row>
    <row r="310" spans="1:101" s="98" customFormat="1">
      <c r="A310" s="3"/>
      <c r="B310" s="3"/>
      <c r="C310" s="3"/>
      <c r="D310" s="93"/>
      <c r="E310" s="94"/>
      <c r="F310" s="94"/>
      <c r="G310" s="95"/>
      <c r="H310" s="96"/>
      <c r="I310" s="97"/>
      <c r="J310" s="95"/>
      <c r="K310" s="96"/>
      <c r="M310" s="99"/>
      <c r="O310" s="99"/>
      <c r="R310" s="97"/>
      <c r="AF310" s="95"/>
      <c r="AG310" s="97"/>
      <c r="AH310" s="96"/>
      <c r="AI310" s="96"/>
      <c r="AJ310" s="95"/>
      <c r="AK310" s="95"/>
      <c r="AL310" s="96"/>
      <c r="AM310" s="96"/>
      <c r="AN310" s="96"/>
      <c r="AO310" s="96"/>
      <c r="AP310" s="96"/>
      <c r="AQ310" s="96"/>
      <c r="AR310" s="96"/>
      <c r="AS310" s="93"/>
      <c r="AT310" s="96"/>
      <c r="AU310" s="96"/>
      <c r="AV310" s="99"/>
      <c r="BI310" s="93"/>
      <c r="BO310" s="99"/>
      <c r="BQ310" s="99"/>
      <c r="BT310" s="95"/>
      <c r="BU310" s="96"/>
      <c r="BV310" s="96"/>
      <c r="BW310" s="96"/>
      <c r="BX310" s="99"/>
      <c r="BY310" s="96"/>
      <c r="BZ310" s="97"/>
      <c r="CA310" s="95"/>
      <c r="CB310" s="99"/>
      <c r="CC310" s="99"/>
      <c r="CD310" s="100"/>
      <c r="CE310" s="100"/>
      <c r="CF310" s="100"/>
      <c r="CG310" s="96"/>
      <c r="CH310" s="96"/>
      <c r="CJ310" s="95"/>
      <c r="CK310" s="93"/>
      <c r="CL310" s="93"/>
      <c r="CM310" s="93"/>
      <c r="CN310" s="93"/>
      <c r="CO310" s="93"/>
      <c r="CP310" s="93"/>
      <c r="CQ310" s="93"/>
      <c r="CR310" s="93"/>
      <c r="CS310" s="93"/>
      <c r="CT310" s="93"/>
      <c r="CU310" s="93"/>
      <c r="CV310" s="93"/>
      <c r="CW310" s="93"/>
    </row>
    <row r="311" spans="1:101" s="98" customFormat="1">
      <c r="A311" s="3"/>
      <c r="B311" s="3"/>
      <c r="C311" s="3"/>
      <c r="D311" s="93"/>
      <c r="E311" s="94"/>
      <c r="F311" s="94"/>
      <c r="G311" s="95"/>
      <c r="H311" s="96"/>
      <c r="I311" s="97"/>
      <c r="J311" s="95"/>
      <c r="K311" s="96"/>
      <c r="M311" s="99"/>
      <c r="O311" s="99"/>
      <c r="R311" s="97"/>
      <c r="AF311" s="95"/>
      <c r="AG311" s="97"/>
      <c r="AH311" s="96"/>
      <c r="AI311" s="96"/>
      <c r="AJ311" s="95"/>
      <c r="AK311" s="95"/>
      <c r="AL311" s="96"/>
      <c r="AM311" s="96"/>
      <c r="AN311" s="96"/>
      <c r="AO311" s="96"/>
      <c r="AP311" s="96"/>
      <c r="AQ311" s="96"/>
      <c r="AR311" s="96"/>
      <c r="AS311" s="93"/>
      <c r="AT311" s="96"/>
      <c r="AU311" s="96"/>
      <c r="AV311" s="99"/>
      <c r="BI311" s="93"/>
      <c r="BO311" s="99"/>
      <c r="BQ311" s="99"/>
      <c r="BT311" s="95"/>
      <c r="BU311" s="96"/>
      <c r="BV311" s="96"/>
      <c r="BW311" s="96"/>
      <c r="BX311" s="99"/>
      <c r="BY311" s="96"/>
      <c r="BZ311" s="97"/>
      <c r="CA311" s="95"/>
      <c r="CB311" s="99"/>
      <c r="CC311" s="99"/>
      <c r="CD311" s="100"/>
      <c r="CE311" s="100"/>
      <c r="CF311" s="100"/>
      <c r="CG311" s="96"/>
      <c r="CH311" s="96"/>
      <c r="CJ311" s="95"/>
      <c r="CK311" s="93"/>
      <c r="CL311" s="93"/>
      <c r="CM311" s="93"/>
      <c r="CN311" s="93"/>
      <c r="CO311" s="93"/>
      <c r="CP311" s="93"/>
      <c r="CQ311" s="93"/>
      <c r="CR311" s="93"/>
      <c r="CS311" s="93"/>
      <c r="CT311" s="93"/>
      <c r="CU311" s="93"/>
      <c r="CV311" s="93"/>
      <c r="CW311" s="93"/>
    </row>
    <row r="312" spans="1:101" s="98" customFormat="1">
      <c r="A312" s="3" t="s">
        <v>520</v>
      </c>
      <c r="B312" s="92" t="s">
        <v>244</v>
      </c>
      <c r="C312" s="3"/>
      <c r="D312" s="93">
        <v>11.031000000000001</v>
      </c>
      <c r="E312" s="94">
        <v>0.1817</v>
      </c>
      <c r="F312" s="94">
        <v>3.7000000000000002E-3</v>
      </c>
      <c r="G312" s="95">
        <v>12.79</v>
      </c>
      <c r="H312" s="96">
        <v>0.46</v>
      </c>
      <c r="I312" s="97">
        <v>0.51219999999999999</v>
      </c>
      <c r="J312" s="95">
        <v>1.4E-2</v>
      </c>
      <c r="K312" s="96">
        <v>0.28531000000000001</v>
      </c>
      <c r="M312" s="99">
        <v>2666</v>
      </c>
      <c r="N312" s="98">
        <v>61</v>
      </c>
      <c r="O312" s="99">
        <v>2662</v>
      </c>
      <c r="P312" s="98">
        <v>19</v>
      </c>
      <c r="Q312" s="93">
        <v>0.01</v>
      </c>
      <c r="R312" s="97">
        <v>4.0000000000000001E-3</v>
      </c>
      <c r="T312" s="98">
        <v>170</v>
      </c>
      <c r="U312" s="98">
        <v>120</v>
      </c>
      <c r="V312" s="98" t="s">
        <v>250</v>
      </c>
      <c r="W312" s="98" t="s">
        <v>250</v>
      </c>
      <c r="X312" s="98" t="s">
        <v>250</v>
      </c>
      <c r="Y312" s="98" t="s">
        <v>250</v>
      </c>
      <c r="Z312" s="98">
        <v>1.37</v>
      </c>
      <c r="AA312" s="98">
        <v>0.6</v>
      </c>
      <c r="AB312" s="98">
        <v>0.24</v>
      </c>
      <c r="AC312" s="98">
        <v>0.17</v>
      </c>
      <c r="AD312" s="98">
        <v>336</v>
      </c>
      <c r="AE312" s="98">
        <v>48</v>
      </c>
      <c r="AF312" s="95" t="s">
        <v>250</v>
      </c>
      <c r="AG312" s="97" t="s">
        <v>250</v>
      </c>
      <c r="AH312" s="96">
        <v>4.7699999999999996</v>
      </c>
      <c r="AI312" s="96">
        <v>0.65</v>
      </c>
      <c r="AJ312" s="95">
        <v>1.7999999999999999E-2</v>
      </c>
      <c r="AK312" s="95">
        <v>1.6E-2</v>
      </c>
      <c r="AL312" s="96">
        <v>0.13</v>
      </c>
      <c r="AM312" s="96">
        <v>0.18</v>
      </c>
      <c r="AN312" s="96">
        <v>1.08</v>
      </c>
      <c r="AO312" s="96">
        <v>0.49</v>
      </c>
      <c r="AP312" s="96">
        <v>0.25</v>
      </c>
      <c r="AQ312" s="96">
        <v>0.11</v>
      </c>
      <c r="AR312" s="96">
        <v>7.1</v>
      </c>
      <c r="AS312" s="93">
        <v>2.7</v>
      </c>
      <c r="AT312" s="96">
        <v>2.4300000000000002</v>
      </c>
      <c r="AU312" s="96">
        <v>0.56000000000000005</v>
      </c>
      <c r="AV312" s="99">
        <v>31.4</v>
      </c>
      <c r="AW312" s="98">
        <v>6</v>
      </c>
      <c r="AX312" s="98">
        <v>10.14</v>
      </c>
      <c r="AY312" s="98">
        <v>0.98</v>
      </c>
      <c r="AZ312" s="98">
        <v>57.2</v>
      </c>
      <c r="BA312" s="98">
        <v>8.6</v>
      </c>
      <c r="BB312" s="98">
        <v>10.9</v>
      </c>
      <c r="BC312" s="98">
        <v>1.7</v>
      </c>
      <c r="BD312" s="98">
        <v>97</v>
      </c>
      <c r="BE312" s="98">
        <v>11</v>
      </c>
      <c r="BF312" s="98">
        <v>21.2</v>
      </c>
      <c r="BG312" s="98">
        <v>2.5</v>
      </c>
      <c r="BI312" s="93">
        <v>7.5</v>
      </c>
      <c r="BJ312" s="98">
        <v>2.2999999999999998</v>
      </c>
      <c r="BK312" s="98">
        <v>571000</v>
      </c>
      <c r="BL312" s="98">
        <v>87000</v>
      </c>
      <c r="BM312" s="98">
        <v>9700</v>
      </c>
      <c r="BN312" s="98">
        <v>1100</v>
      </c>
      <c r="BO312" s="99">
        <v>9.1999999999999993</v>
      </c>
      <c r="BP312" s="98">
        <v>1</v>
      </c>
      <c r="BQ312" s="99">
        <v>18.8</v>
      </c>
      <c r="BR312" s="98">
        <v>1.6</v>
      </c>
      <c r="BT312" s="95">
        <f t="shared" ref="BT312:BT340" si="247">BQ312/BD312</f>
        <v>0.19381443298969073</v>
      </c>
      <c r="BU312" s="96">
        <f t="shared" ref="BU312:BU340" si="248">AH312/AL312</f>
        <v>36.692307692307686</v>
      </c>
      <c r="BV312" s="96">
        <f t="shared" ref="BV312:BV340" si="249">BK312/BM312</f>
        <v>58.865979381443296</v>
      </c>
      <c r="BW312" s="96">
        <f t="shared" ref="BW312:BW340" si="250">BO312/BQ312</f>
        <v>0.4893617021276595</v>
      </c>
      <c r="BX312" s="99"/>
      <c r="BY312" s="96">
        <f t="shared" ref="BY312:BY340" si="251">AH312/AL312</f>
        <v>36.692307692307686</v>
      </c>
      <c r="BZ312" s="97">
        <f t="shared" ref="BZ312:BZ340" si="252">(AH312/AL312)/AD312</f>
        <v>0.10920329670329669</v>
      </c>
      <c r="CA312" s="95">
        <f t="shared" si="223"/>
        <v>0.27600858557482355</v>
      </c>
      <c r="CB312" s="99">
        <f t="shared" si="243"/>
        <v>30.766907220658986</v>
      </c>
      <c r="CC312" s="99">
        <f t="shared" si="243"/>
        <v>2.6184601889922541</v>
      </c>
      <c r="CD312" s="100">
        <f t="shared" ref="CD312:CD340" si="253">4800/(5.711-LOG(BI312)-LOG(1)+LOG(0.75))-273.15</f>
        <v>745.74195499893858</v>
      </c>
      <c r="CE312" s="100">
        <f>4800/(5.711-LOG(BI312)-LOG(1)+LOG(0.5))-273.15</f>
        <v>785.30569871390196</v>
      </c>
      <c r="CF312" s="100">
        <f t="shared" si="225"/>
        <v>33.527743831464605</v>
      </c>
      <c r="CG312" s="96">
        <f t="shared" ref="CG312:CG323" si="254">2.28+3.99*LOG(AH312/((CB312*BI312)^(1/2)))</f>
        <v>0.27281384732854486</v>
      </c>
      <c r="CH312" s="96">
        <f t="shared" si="246"/>
        <v>0.42281881801529214</v>
      </c>
      <c r="CJ312" s="95"/>
      <c r="CK312" s="93">
        <f t="shared" ref="CK312:CK340" si="255">AH312/CK$4</f>
        <v>7.7941176470588234</v>
      </c>
      <c r="CL312" s="93">
        <f t="shared" ref="CL312:CL340" si="256">AJ312/CL$4</f>
        <v>0.18947368421052629</v>
      </c>
      <c r="CM312" s="93">
        <f t="shared" ref="CM312:CM340" si="257">AL312/CM$4</f>
        <v>0.27837259100642398</v>
      </c>
      <c r="CN312" s="93">
        <f t="shared" ref="CN312:CN340" si="258">AN312/CN$4</f>
        <v>7.0588235294117654</v>
      </c>
      <c r="CO312" s="93">
        <f t="shared" ref="CO312:CO340" si="259">AP312/CO$4</f>
        <v>4.3103448275862064</v>
      </c>
      <c r="CP312" s="93">
        <f t="shared" ref="CP312:CP340" si="260">AR312/CP$4</f>
        <v>34.549878345498783</v>
      </c>
      <c r="CQ312" s="93">
        <f t="shared" ref="CQ312:CQ340" si="261">AT312/CQ$4</f>
        <v>64.973262032085557</v>
      </c>
      <c r="CR312" s="93">
        <f t="shared" ref="CR312:CR340" si="262">AV312/CR$4</f>
        <v>123.62204724409447</v>
      </c>
      <c r="CS312" s="93">
        <f t="shared" ref="CS312:CS340" si="263">AX312/CS$4</f>
        <v>179.15194346289755</v>
      </c>
      <c r="CT312" s="93">
        <f t="shared" ref="CT312:CT340" si="264">AZ312/CT$4</f>
        <v>345.61933534743201</v>
      </c>
      <c r="CU312" s="93">
        <f t="shared" ref="CU312:CU340" si="265">BB312/CU$4</f>
        <v>427.45098039215691</v>
      </c>
      <c r="CV312" s="93">
        <f t="shared" ref="CV312:CV340" si="266">BD312/CV$4</f>
        <v>570.58823529411757</v>
      </c>
      <c r="CW312" s="93">
        <f t="shared" ref="CW312:CW340" si="267">BF312/CW$4</f>
        <v>834.64566929133855</v>
      </c>
    </row>
    <row r="313" spans="1:101" s="98" customFormat="1">
      <c r="A313" s="3" t="s">
        <v>521</v>
      </c>
      <c r="B313" s="92" t="s">
        <v>244</v>
      </c>
      <c r="C313" s="3"/>
      <c r="D313" s="93">
        <v>11.010999999999999</v>
      </c>
      <c r="E313" s="94">
        <v>0.18360000000000001</v>
      </c>
      <c r="F313" s="94">
        <v>2E-3</v>
      </c>
      <c r="G313" s="95">
        <v>13.03</v>
      </c>
      <c r="H313" s="96">
        <v>0.4</v>
      </c>
      <c r="I313" s="97">
        <v>0.51629999999999998</v>
      </c>
      <c r="J313" s="95">
        <v>1.4E-2</v>
      </c>
      <c r="K313" s="96">
        <v>0.35708000000000001</v>
      </c>
      <c r="M313" s="99">
        <v>2683</v>
      </c>
      <c r="N313" s="98">
        <v>61</v>
      </c>
      <c r="O313" s="99">
        <v>2685</v>
      </c>
      <c r="P313" s="98">
        <v>11</v>
      </c>
      <c r="Q313" s="93">
        <v>0.06</v>
      </c>
      <c r="R313" s="97">
        <v>2.5000000000000001E-3</v>
      </c>
      <c r="T313" s="98">
        <v>250</v>
      </c>
      <c r="U313" s="98">
        <v>130</v>
      </c>
      <c r="V313" s="98" t="s">
        <v>250</v>
      </c>
      <c r="W313" s="98" t="s">
        <v>250</v>
      </c>
      <c r="X313" s="98">
        <v>2.5999999999999999E-2</v>
      </c>
      <c r="Y313" s="98">
        <v>5.6000000000000001E-2</v>
      </c>
      <c r="Z313" s="98">
        <v>0.81</v>
      </c>
      <c r="AA313" s="98">
        <v>0.4</v>
      </c>
      <c r="AB313" s="98">
        <v>0.31</v>
      </c>
      <c r="AC313" s="98">
        <v>0.19</v>
      </c>
      <c r="AD313" s="98">
        <v>1000</v>
      </c>
      <c r="AE313" s="98">
        <v>100</v>
      </c>
      <c r="AF313" s="95">
        <v>9.1999999999999998E-3</v>
      </c>
      <c r="AG313" s="97">
        <v>9.5999999999999992E-3</v>
      </c>
      <c r="AH313" s="96">
        <v>8</v>
      </c>
      <c r="AI313" s="96">
        <v>1.5</v>
      </c>
      <c r="AJ313" s="95">
        <v>0.25900000000000001</v>
      </c>
      <c r="AK313" s="95">
        <v>7.2999999999999995E-2</v>
      </c>
      <c r="AL313" s="96">
        <v>3.94</v>
      </c>
      <c r="AM313" s="96">
        <v>0.94</v>
      </c>
      <c r="AN313" s="96">
        <v>5.8</v>
      </c>
      <c r="AO313" s="96">
        <v>1.2</v>
      </c>
      <c r="AP313" s="96">
        <v>1.7</v>
      </c>
      <c r="AQ313" s="96">
        <v>0.33</v>
      </c>
      <c r="AR313" s="96">
        <v>32.1</v>
      </c>
      <c r="AS313" s="93">
        <v>4.3</v>
      </c>
      <c r="AT313" s="96">
        <v>9.17</v>
      </c>
      <c r="AU313" s="96">
        <v>0.91</v>
      </c>
      <c r="AV313" s="99">
        <v>102</v>
      </c>
      <c r="AW313" s="98">
        <v>14</v>
      </c>
      <c r="AX313" s="98">
        <v>32.799999999999997</v>
      </c>
      <c r="AY313" s="98">
        <v>2.9</v>
      </c>
      <c r="AZ313" s="98">
        <v>156</v>
      </c>
      <c r="BA313" s="98">
        <v>15</v>
      </c>
      <c r="BB313" s="98">
        <v>28.4</v>
      </c>
      <c r="BC313" s="98">
        <v>3.3</v>
      </c>
      <c r="BD313" s="98">
        <v>234</v>
      </c>
      <c r="BE313" s="98">
        <v>24</v>
      </c>
      <c r="BF313" s="98">
        <v>47.3</v>
      </c>
      <c r="BG313" s="98">
        <v>4.4000000000000004</v>
      </c>
      <c r="BI313" s="93">
        <v>10.3</v>
      </c>
      <c r="BJ313" s="98">
        <v>3.2</v>
      </c>
      <c r="BK313" s="98">
        <v>524000</v>
      </c>
      <c r="BL313" s="98">
        <v>51000</v>
      </c>
      <c r="BM313" s="98">
        <v>8660</v>
      </c>
      <c r="BN313" s="98">
        <v>910</v>
      </c>
      <c r="BO313" s="99">
        <v>30.8</v>
      </c>
      <c r="BP313" s="98">
        <v>2.8</v>
      </c>
      <c r="BQ313" s="99">
        <v>37.9</v>
      </c>
      <c r="BR313" s="98">
        <v>3.5</v>
      </c>
      <c r="BT313" s="95">
        <f t="shared" si="247"/>
        <v>0.16196581196581197</v>
      </c>
      <c r="BU313" s="96">
        <f t="shared" si="248"/>
        <v>2.030456852791878</v>
      </c>
      <c r="BV313" s="96">
        <f t="shared" si="249"/>
        <v>60.508083140877595</v>
      </c>
      <c r="BW313" s="96">
        <f t="shared" si="250"/>
        <v>0.81266490765171506</v>
      </c>
      <c r="BX313" s="99">
        <f>CK313/SQRT(CJ313*CL313)</f>
        <v>40.181925562281023</v>
      </c>
      <c r="BY313" s="96">
        <f t="shared" si="251"/>
        <v>2.030456852791878</v>
      </c>
      <c r="BZ313" s="97">
        <f t="shared" si="252"/>
        <v>2.0304568527918778E-3</v>
      </c>
      <c r="CA313" s="95">
        <f t="shared" si="223"/>
        <v>0.38089567674612274</v>
      </c>
      <c r="CB313" s="99">
        <f t="shared" si="243"/>
        <v>62.024775726754015</v>
      </c>
      <c r="CC313" s="99">
        <f t="shared" si="243"/>
        <v>5.7278816634205558</v>
      </c>
      <c r="CD313" s="100">
        <f t="shared" si="253"/>
        <v>776.43776552276756</v>
      </c>
      <c r="CE313" s="100">
        <f t="shared" ref="CE313:CE340" si="268">4800/(5.711-LOG(BI313)-LOG(1)+LOG(0.5))-273.15</f>
        <v>818.4704355336695</v>
      </c>
      <c r="CF313" s="100">
        <f t="shared" si="225"/>
        <v>35.863465179438634</v>
      </c>
      <c r="CG313" s="96">
        <f t="shared" si="254"/>
        <v>0.28655120563070557</v>
      </c>
      <c r="CH313" s="96">
        <f t="shared" si="246"/>
        <v>0.50293261254606558</v>
      </c>
      <c r="CJ313" s="95">
        <f>AF313/CJ$4</f>
        <v>3.8818565400843885E-2</v>
      </c>
      <c r="CK313" s="93">
        <f t="shared" si="255"/>
        <v>13.071895424836601</v>
      </c>
      <c r="CL313" s="93">
        <f t="shared" si="256"/>
        <v>2.7263157894736842</v>
      </c>
      <c r="CM313" s="93">
        <f t="shared" si="257"/>
        <v>8.4368308351177728</v>
      </c>
      <c r="CN313" s="93">
        <f t="shared" si="258"/>
        <v>37.908496732026144</v>
      </c>
      <c r="CO313" s="93">
        <f t="shared" si="259"/>
        <v>29.310344827586206</v>
      </c>
      <c r="CP313" s="93">
        <f t="shared" si="260"/>
        <v>156.20437956204381</v>
      </c>
      <c r="CQ313" s="93">
        <f t="shared" si="261"/>
        <v>245.18716577540104</v>
      </c>
      <c r="CR313" s="93">
        <f t="shared" si="262"/>
        <v>401.57480314960628</v>
      </c>
      <c r="CS313" s="93">
        <f t="shared" si="263"/>
        <v>579.50530035335692</v>
      </c>
      <c r="CT313" s="93">
        <f t="shared" si="264"/>
        <v>942.59818731117821</v>
      </c>
      <c r="CU313" s="93">
        <f t="shared" si="265"/>
        <v>1113.7254901960785</v>
      </c>
      <c r="CV313" s="93">
        <f t="shared" si="266"/>
        <v>1376.4705882352939</v>
      </c>
      <c r="CW313" s="93">
        <f t="shared" si="267"/>
        <v>1862.2047244094488</v>
      </c>
    </row>
    <row r="314" spans="1:101" s="98" customFormat="1">
      <c r="A314" s="3" t="s">
        <v>522</v>
      </c>
      <c r="B314" s="92" t="s">
        <v>244</v>
      </c>
      <c r="C314" s="3"/>
      <c r="D314" s="93">
        <v>11.010999999999999</v>
      </c>
      <c r="E314" s="94">
        <v>0.1847</v>
      </c>
      <c r="F314" s="94">
        <v>2.5999999999999999E-3</v>
      </c>
      <c r="G314" s="95">
        <v>13.07</v>
      </c>
      <c r="H314" s="96">
        <v>0.41</v>
      </c>
      <c r="I314" s="97">
        <v>0.51500000000000001</v>
      </c>
      <c r="J314" s="95">
        <v>1.4E-2</v>
      </c>
      <c r="K314" s="96">
        <v>5.9645999999999998E-2</v>
      </c>
      <c r="M314" s="99">
        <v>2678</v>
      </c>
      <c r="N314" s="98">
        <v>60</v>
      </c>
      <c r="O314" s="99">
        <v>2694</v>
      </c>
      <c r="P314" s="98">
        <v>11</v>
      </c>
      <c r="Q314" s="93">
        <v>0.71</v>
      </c>
      <c r="R314" s="97">
        <v>5.4000000000000003E-3</v>
      </c>
      <c r="T314" s="98">
        <v>140</v>
      </c>
      <c r="U314" s="98">
        <v>130</v>
      </c>
      <c r="V314" s="98">
        <v>1.2</v>
      </c>
      <c r="W314" s="98">
        <v>1.5</v>
      </c>
      <c r="X314" s="98">
        <v>0.08</v>
      </c>
      <c r="Y314" s="98">
        <v>0.12</v>
      </c>
      <c r="Z314" s="98">
        <v>1.63</v>
      </c>
      <c r="AA314" s="98">
        <v>0.66</v>
      </c>
      <c r="AB314" s="98">
        <v>0.26</v>
      </c>
      <c r="AC314" s="98">
        <v>0.19</v>
      </c>
      <c r="AD314" s="98">
        <v>548</v>
      </c>
      <c r="AE314" s="98">
        <v>83</v>
      </c>
      <c r="AF314" s="95">
        <v>5.7000000000000002E-3</v>
      </c>
      <c r="AG314" s="97">
        <v>7.7000000000000002E-3</v>
      </c>
      <c r="AH314" s="96">
        <v>6</v>
      </c>
      <c r="AI314" s="96">
        <v>1.1000000000000001</v>
      </c>
      <c r="AJ314" s="95">
        <v>5.2999999999999999E-2</v>
      </c>
      <c r="AK314" s="95">
        <v>3.3000000000000002E-2</v>
      </c>
      <c r="AL314" s="96">
        <v>0.98</v>
      </c>
      <c r="AM314" s="96">
        <v>0.56000000000000005</v>
      </c>
      <c r="AN314" s="96">
        <v>2.66</v>
      </c>
      <c r="AO314" s="96">
        <v>0.63</v>
      </c>
      <c r="AP314" s="96">
        <v>0.64</v>
      </c>
      <c r="AQ314" s="96">
        <v>0.19</v>
      </c>
      <c r="AR314" s="96">
        <v>14.3</v>
      </c>
      <c r="AS314" s="93">
        <v>2.7</v>
      </c>
      <c r="AT314" s="96">
        <v>4.47</v>
      </c>
      <c r="AU314" s="96">
        <v>0.82</v>
      </c>
      <c r="AV314" s="99">
        <v>51.6</v>
      </c>
      <c r="AW314" s="98">
        <v>6.2</v>
      </c>
      <c r="AX314" s="98">
        <v>17.8</v>
      </c>
      <c r="AY314" s="98">
        <v>1.9</v>
      </c>
      <c r="AZ314" s="98">
        <v>89.8</v>
      </c>
      <c r="BA314" s="98">
        <v>9.6999999999999993</v>
      </c>
      <c r="BB314" s="98">
        <v>16.100000000000001</v>
      </c>
      <c r="BC314" s="98">
        <v>2</v>
      </c>
      <c r="BD314" s="98">
        <v>154</v>
      </c>
      <c r="BE314" s="98">
        <v>13</v>
      </c>
      <c r="BF314" s="98">
        <v>33.9</v>
      </c>
      <c r="BG314" s="98">
        <v>4.9000000000000004</v>
      </c>
      <c r="BI314" s="93">
        <v>13.1</v>
      </c>
      <c r="BJ314" s="98">
        <v>4.5999999999999996</v>
      </c>
      <c r="BK314" s="98">
        <v>547000</v>
      </c>
      <c r="BL314" s="98">
        <v>73000</v>
      </c>
      <c r="BM314" s="98">
        <v>9700</v>
      </c>
      <c r="BN314" s="98">
        <v>1300</v>
      </c>
      <c r="BO314" s="99">
        <v>13.6</v>
      </c>
      <c r="BP314" s="98">
        <v>1.4</v>
      </c>
      <c r="BQ314" s="99">
        <v>25.1</v>
      </c>
      <c r="BR314" s="98">
        <v>2.5</v>
      </c>
      <c r="BT314" s="95">
        <f t="shared" si="247"/>
        <v>0.16298701298701299</v>
      </c>
      <c r="BU314" s="96">
        <f t="shared" si="248"/>
        <v>6.1224489795918364</v>
      </c>
      <c r="BV314" s="96">
        <f t="shared" si="249"/>
        <v>56.391752577319586</v>
      </c>
      <c r="BW314" s="96">
        <f t="shared" si="250"/>
        <v>0.54183266932270913</v>
      </c>
      <c r="BX314" s="99">
        <f>CK314/SQRT(CJ314*CL314)</f>
        <v>84.637035092366602</v>
      </c>
      <c r="BY314" s="96">
        <f t="shared" si="251"/>
        <v>6.1224489795918364</v>
      </c>
      <c r="BZ314" s="97">
        <f t="shared" si="252"/>
        <v>1.1172352152539847E-2</v>
      </c>
      <c r="CA314" s="95">
        <f t="shared" si="223"/>
        <v>0.31724498966191139</v>
      </c>
      <c r="CB314" s="99">
        <f t="shared" si="243"/>
        <v>41.077094214815986</v>
      </c>
      <c r="CC314" s="99">
        <f t="shared" si="243"/>
        <v>4.0913440453003966</v>
      </c>
      <c r="CD314" s="100">
        <f t="shared" si="253"/>
        <v>800.96626741363013</v>
      </c>
      <c r="CE314" s="100">
        <f t="shared" si="268"/>
        <v>845.0277072529999</v>
      </c>
      <c r="CF314" s="100">
        <f t="shared" si="225"/>
        <v>41.827950952819428</v>
      </c>
      <c r="CG314" s="96">
        <f t="shared" si="254"/>
        <v>-6.3264175451208882E-2</v>
      </c>
      <c r="CH314" s="96">
        <f t="shared" si="246"/>
        <v>0.51858607407475588</v>
      </c>
      <c r="CJ314" s="95">
        <f>AF314/CJ$4</f>
        <v>2.4050632911392408E-2</v>
      </c>
      <c r="CK314" s="93">
        <f t="shared" si="255"/>
        <v>9.8039215686274517</v>
      </c>
      <c r="CL314" s="93">
        <f t="shared" si="256"/>
        <v>0.55789473684210522</v>
      </c>
      <c r="CM314" s="93">
        <f t="shared" si="257"/>
        <v>2.0985010706638114</v>
      </c>
      <c r="CN314" s="93">
        <f t="shared" si="258"/>
        <v>17.385620915032682</v>
      </c>
      <c r="CO314" s="93">
        <f t="shared" si="259"/>
        <v>11.034482758620689</v>
      </c>
      <c r="CP314" s="93">
        <f t="shared" si="260"/>
        <v>69.586374695863753</v>
      </c>
      <c r="CQ314" s="93">
        <f t="shared" si="261"/>
        <v>119.51871657754009</v>
      </c>
      <c r="CR314" s="93">
        <f t="shared" si="262"/>
        <v>203.14960629921259</v>
      </c>
      <c r="CS314" s="93">
        <f t="shared" si="263"/>
        <v>314.48763250883394</v>
      </c>
      <c r="CT314" s="93">
        <f t="shared" si="264"/>
        <v>542.59818731117821</v>
      </c>
      <c r="CU314" s="93">
        <f t="shared" si="265"/>
        <v>631.37254901960796</v>
      </c>
      <c r="CV314" s="93">
        <f t="shared" si="266"/>
        <v>905.88235294117635</v>
      </c>
      <c r="CW314" s="93">
        <f t="shared" si="267"/>
        <v>1334.6456692913387</v>
      </c>
    </row>
    <row r="315" spans="1:101" s="98" customFormat="1">
      <c r="A315" s="3" t="s">
        <v>523</v>
      </c>
      <c r="B315" s="92" t="s">
        <v>244</v>
      </c>
      <c r="C315" s="3"/>
      <c r="D315" s="93">
        <v>11.037000000000001</v>
      </c>
      <c r="E315" s="94">
        <v>0.183</v>
      </c>
      <c r="F315" s="94">
        <v>3.5000000000000001E-3</v>
      </c>
      <c r="G315" s="95">
        <v>12.87</v>
      </c>
      <c r="H315" s="96">
        <v>0.45</v>
      </c>
      <c r="I315" s="97">
        <v>0.51170000000000004</v>
      </c>
      <c r="J315" s="95">
        <v>1.4E-2</v>
      </c>
      <c r="K315" s="96">
        <v>0.13395000000000001</v>
      </c>
      <c r="M315" s="99">
        <v>2664</v>
      </c>
      <c r="N315" s="98">
        <v>61</v>
      </c>
      <c r="O315" s="99">
        <v>2681</v>
      </c>
      <c r="P315" s="98">
        <v>17</v>
      </c>
      <c r="Q315" s="93">
        <v>0.5</v>
      </c>
      <c r="R315" s="97">
        <v>4.3E-3</v>
      </c>
      <c r="T315" s="98">
        <v>190</v>
      </c>
      <c r="U315" s="98">
        <v>110</v>
      </c>
      <c r="V315" s="98">
        <v>0.4</v>
      </c>
      <c r="W315" s="98">
        <v>1.6</v>
      </c>
      <c r="X315" s="98">
        <v>0.2</v>
      </c>
      <c r="Y315" s="98">
        <v>0.19</v>
      </c>
      <c r="Z315" s="98">
        <v>1.06</v>
      </c>
      <c r="AA315" s="98">
        <v>0.61</v>
      </c>
      <c r="AB315" s="98">
        <v>0.48</v>
      </c>
      <c r="AC315" s="98">
        <v>0.31</v>
      </c>
      <c r="AD315" s="98">
        <v>399</v>
      </c>
      <c r="AE315" s="98">
        <v>61</v>
      </c>
      <c r="AF315" s="95" t="s">
        <v>250</v>
      </c>
      <c r="AG315" s="97" t="s">
        <v>250</v>
      </c>
      <c r="AH315" s="96">
        <v>4.47</v>
      </c>
      <c r="AI315" s="96">
        <v>0.94</v>
      </c>
      <c r="AJ315" s="95">
        <v>1.4E-2</v>
      </c>
      <c r="AK315" s="95">
        <v>1.4E-2</v>
      </c>
      <c r="AL315" s="96">
        <v>0.5</v>
      </c>
      <c r="AM315" s="96">
        <v>0.35</v>
      </c>
      <c r="AN315" s="96">
        <v>1.43</v>
      </c>
      <c r="AO315" s="96">
        <v>0.64</v>
      </c>
      <c r="AP315" s="96">
        <v>0.4</v>
      </c>
      <c r="AQ315" s="96">
        <v>0.17</v>
      </c>
      <c r="AR315" s="96">
        <v>9</v>
      </c>
      <c r="AS315" s="93">
        <v>2.4</v>
      </c>
      <c r="AT315" s="96">
        <v>2.83</v>
      </c>
      <c r="AU315" s="96">
        <v>0.71</v>
      </c>
      <c r="AV315" s="99">
        <v>34.700000000000003</v>
      </c>
      <c r="AW315" s="98">
        <v>3.7</v>
      </c>
      <c r="AX315" s="98">
        <v>13.9</v>
      </c>
      <c r="AY315" s="98">
        <v>1.7</v>
      </c>
      <c r="AZ315" s="98">
        <v>59.3</v>
      </c>
      <c r="BA315" s="98">
        <v>6.4</v>
      </c>
      <c r="BB315" s="98">
        <v>13.2</v>
      </c>
      <c r="BC315" s="98">
        <v>2.1</v>
      </c>
      <c r="BD315" s="98">
        <v>105.6</v>
      </c>
      <c r="BE315" s="98">
        <v>9.4</v>
      </c>
      <c r="BF315" s="98">
        <v>20.100000000000001</v>
      </c>
      <c r="BG315" s="98">
        <v>1.8</v>
      </c>
      <c r="BI315" s="93">
        <v>7.2</v>
      </c>
      <c r="BJ315" s="98">
        <v>2.2000000000000002</v>
      </c>
      <c r="BK315" s="98">
        <v>553000</v>
      </c>
      <c r="BL315" s="98">
        <v>69000</v>
      </c>
      <c r="BM315" s="98">
        <v>10200</v>
      </c>
      <c r="BN315" s="98">
        <v>1200</v>
      </c>
      <c r="BO315" s="99">
        <v>9.42</v>
      </c>
      <c r="BP315" s="98">
        <v>0.99</v>
      </c>
      <c r="BQ315" s="99">
        <v>17.8</v>
      </c>
      <c r="BR315" s="98">
        <v>1.8</v>
      </c>
      <c r="BT315" s="95">
        <f t="shared" si="247"/>
        <v>0.16856060606060608</v>
      </c>
      <c r="BU315" s="96">
        <f t="shared" si="248"/>
        <v>8.94</v>
      </c>
      <c r="BV315" s="96">
        <f t="shared" si="249"/>
        <v>54.215686274509807</v>
      </c>
      <c r="BW315" s="96">
        <f t="shared" si="250"/>
        <v>0.52921348314606742</v>
      </c>
      <c r="BX315" s="99"/>
      <c r="BY315" s="96">
        <f t="shared" si="251"/>
        <v>8.94</v>
      </c>
      <c r="BZ315" s="97">
        <f t="shared" si="252"/>
        <v>2.2406015037593985E-2</v>
      </c>
      <c r="CA315" s="95">
        <f t="shared" si="223"/>
        <v>0.34087437355964234</v>
      </c>
      <c r="CB315" s="99">
        <f t="shared" si="243"/>
        <v>29.130369602538828</v>
      </c>
      <c r="CC315" s="99">
        <f t="shared" si="243"/>
        <v>2.945767712616286</v>
      </c>
      <c r="CD315" s="100">
        <f t="shared" si="253"/>
        <v>741.92196469747637</v>
      </c>
      <c r="CE315" s="100">
        <f t="shared" si="268"/>
        <v>781.18388704146867</v>
      </c>
      <c r="CF315" s="100">
        <f t="shared" si="225"/>
        <v>33.185654957912853</v>
      </c>
      <c r="CG315" s="96">
        <f t="shared" si="254"/>
        <v>0.24297842701577599</v>
      </c>
      <c r="CH315" s="96">
        <f t="shared" si="246"/>
        <v>0.5398739681573087</v>
      </c>
      <c r="CJ315" s="95"/>
      <c r="CK315" s="93">
        <f t="shared" si="255"/>
        <v>7.3039215686274508</v>
      </c>
      <c r="CL315" s="93">
        <f t="shared" si="256"/>
        <v>0.14736842105263159</v>
      </c>
      <c r="CM315" s="93">
        <f t="shared" si="257"/>
        <v>1.070663811563169</v>
      </c>
      <c r="CN315" s="93">
        <f t="shared" si="258"/>
        <v>9.3464052287581705</v>
      </c>
      <c r="CO315" s="93">
        <f t="shared" si="259"/>
        <v>6.8965517241379315</v>
      </c>
      <c r="CP315" s="93">
        <f t="shared" si="260"/>
        <v>43.79562043795621</v>
      </c>
      <c r="CQ315" s="93">
        <f t="shared" si="261"/>
        <v>75.668449197860966</v>
      </c>
      <c r="CR315" s="93">
        <f t="shared" si="262"/>
        <v>136.61417322834646</v>
      </c>
      <c r="CS315" s="93">
        <f t="shared" si="263"/>
        <v>245.58303886925796</v>
      </c>
      <c r="CT315" s="93">
        <f t="shared" si="264"/>
        <v>358.30815709969784</v>
      </c>
      <c r="CU315" s="93">
        <f t="shared" si="265"/>
        <v>517.64705882352939</v>
      </c>
      <c r="CV315" s="93">
        <f t="shared" si="266"/>
        <v>621.17647058823525</v>
      </c>
      <c r="CW315" s="93">
        <f t="shared" si="267"/>
        <v>791.33858267716539</v>
      </c>
    </row>
    <row r="316" spans="1:101" s="98" customFormat="1">
      <c r="A316" s="3" t="s">
        <v>524</v>
      </c>
      <c r="B316" s="92" t="s">
        <v>244</v>
      </c>
      <c r="C316" s="3"/>
      <c r="D316" s="93">
        <v>8.5434000000000001</v>
      </c>
      <c r="E316" s="94">
        <v>0.1832</v>
      </c>
      <c r="F316" s="94">
        <v>3.3999999999999998E-3</v>
      </c>
      <c r="G316" s="95">
        <v>12.56</v>
      </c>
      <c r="H316" s="96">
        <v>0.43</v>
      </c>
      <c r="I316" s="97">
        <v>0.50070000000000003</v>
      </c>
      <c r="J316" s="95">
        <v>1.4E-2</v>
      </c>
      <c r="K316" s="96">
        <v>0.23835999999999999</v>
      </c>
      <c r="M316" s="99">
        <v>2617</v>
      </c>
      <c r="N316" s="98">
        <v>59</v>
      </c>
      <c r="O316" s="99">
        <v>2683</v>
      </c>
      <c r="P316" s="98">
        <v>22</v>
      </c>
      <c r="Q316" s="93">
        <v>2.44</v>
      </c>
      <c r="R316" s="97">
        <v>8.0000000000000002E-3</v>
      </c>
      <c r="T316" s="98">
        <v>50</v>
      </c>
      <c r="U316" s="98">
        <v>160</v>
      </c>
      <c r="V316" s="98" t="s">
        <v>250</v>
      </c>
      <c r="W316" s="98" t="s">
        <v>250</v>
      </c>
      <c r="X316" s="98">
        <v>0.27</v>
      </c>
      <c r="Y316" s="98">
        <v>0.25</v>
      </c>
      <c r="Z316" s="98">
        <v>1.61</v>
      </c>
      <c r="AA316" s="98">
        <v>0.74</v>
      </c>
      <c r="AB316" s="98">
        <v>0.51</v>
      </c>
      <c r="AC316" s="98">
        <v>0.31</v>
      </c>
      <c r="AD316" s="98">
        <v>372</v>
      </c>
      <c r="AE316" s="98">
        <v>48</v>
      </c>
      <c r="AF316" s="95">
        <v>5.0000000000000001E-3</v>
      </c>
      <c r="AG316" s="97">
        <v>8.5000000000000006E-3</v>
      </c>
      <c r="AH316" s="96">
        <v>5.0999999999999996</v>
      </c>
      <c r="AI316" s="96">
        <v>1.6</v>
      </c>
      <c r="AJ316" s="95">
        <v>0.04</v>
      </c>
      <c r="AK316" s="95">
        <v>2.5000000000000001E-2</v>
      </c>
      <c r="AL316" s="96">
        <v>0.74</v>
      </c>
      <c r="AM316" s="96">
        <v>0.53</v>
      </c>
      <c r="AN316" s="96">
        <v>1.02</v>
      </c>
      <c r="AO316" s="96">
        <v>0.69</v>
      </c>
      <c r="AP316" s="96">
        <v>0.46</v>
      </c>
      <c r="AQ316" s="96">
        <v>0.3</v>
      </c>
      <c r="AR316" s="96">
        <v>5.8</v>
      </c>
      <c r="AS316" s="93">
        <v>1.7</v>
      </c>
      <c r="AT316" s="96">
        <v>2.29</v>
      </c>
      <c r="AU316" s="96">
        <v>0.57999999999999996</v>
      </c>
      <c r="AV316" s="99">
        <v>25.4</v>
      </c>
      <c r="AW316" s="98">
        <v>3.8</v>
      </c>
      <c r="AX316" s="98">
        <v>10.5</v>
      </c>
      <c r="AY316" s="98">
        <v>1.5</v>
      </c>
      <c r="AZ316" s="98">
        <v>61.8</v>
      </c>
      <c r="BA316" s="98">
        <v>9.6999999999999993</v>
      </c>
      <c r="BB316" s="98">
        <v>13.3</v>
      </c>
      <c r="BC316" s="98">
        <v>1.6</v>
      </c>
      <c r="BD316" s="98">
        <v>153</v>
      </c>
      <c r="BE316" s="98">
        <v>25</v>
      </c>
      <c r="BF316" s="98">
        <v>36.4</v>
      </c>
      <c r="BG316" s="98">
        <v>4.3</v>
      </c>
      <c r="BI316" s="93">
        <v>7.1</v>
      </c>
      <c r="BJ316" s="98">
        <v>4.5</v>
      </c>
      <c r="BK316" s="98">
        <v>573000</v>
      </c>
      <c r="BL316" s="98">
        <v>80000</v>
      </c>
      <c r="BM316" s="98">
        <v>10700</v>
      </c>
      <c r="BN316" s="98">
        <v>1600</v>
      </c>
      <c r="BO316" s="99">
        <v>15.8</v>
      </c>
      <c r="BP316" s="98">
        <v>2</v>
      </c>
      <c r="BQ316" s="99">
        <v>36.799999999999997</v>
      </c>
      <c r="BR316" s="98">
        <v>4.4000000000000004</v>
      </c>
      <c r="BT316" s="95">
        <f t="shared" si="247"/>
        <v>0.24052287581699344</v>
      </c>
      <c r="BU316" s="96">
        <f t="shared" si="248"/>
        <v>6.8918918918918912</v>
      </c>
      <c r="BV316" s="96">
        <f t="shared" si="249"/>
        <v>53.55140186915888</v>
      </c>
      <c r="BW316" s="96">
        <f t="shared" si="250"/>
        <v>0.4293478260869566</v>
      </c>
      <c r="BX316" s="99">
        <f>CK316/SQRT(CJ316*CL316)</f>
        <v>88.41780552204024</v>
      </c>
      <c r="BY316" s="96">
        <f t="shared" si="251"/>
        <v>6.8918918918918912</v>
      </c>
      <c r="BZ316" s="97">
        <f t="shared" si="252"/>
        <v>1.8526591107236267E-2</v>
      </c>
      <c r="CA316" s="95">
        <f t="shared" si="223"/>
        <v>0.57818575020217222</v>
      </c>
      <c r="CB316" s="99">
        <f t="shared" si="243"/>
        <v>60.224584346821835</v>
      </c>
      <c r="CC316" s="99">
        <f t="shared" si="243"/>
        <v>7.2007655197286988</v>
      </c>
      <c r="CD316" s="100">
        <f t="shared" si="253"/>
        <v>740.61975694708156</v>
      </c>
      <c r="CE316" s="100">
        <f t="shared" si="268"/>
        <v>779.77906474700092</v>
      </c>
      <c r="CF316" s="100">
        <f t="shared" si="225"/>
        <v>65.423245972856506</v>
      </c>
      <c r="CG316" s="96">
        <f t="shared" si="254"/>
        <v>-0.14570415661148317</v>
      </c>
      <c r="CH316" s="96">
        <f t="shared" si="246"/>
        <v>0.90569016718129758</v>
      </c>
      <c r="CJ316" s="95">
        <f>AF316/CJ$4</f>
        <v>2.1097046413502112E-2</v>
      </c>
      <c r="CK316" s="93">
        <f t="shared" si="255"/>
        <v>8.3333333333333321</v>
      </c>
      <c r="CL316" s="93">
        <f t="shared" si="256"/>
        <v>0.42105263157894735</v>
      </c>
      <c r="CM316" s="93">
        <f t="shared" si="257"/>
        <v>1.5845824411134903</v>
      </c>
      <c r="CN316" s="93">
        <f t="shared" si="258"/>
        <v>6.666666666666667</v>
      </c>
      <c r="CO316" s="93">
        <f t="shared" si="259"/>
        <v>7.931034482758621</v>
      </c>
      <c r="CP316" s="93">
        <f t="shared" si="260"/>
        <v>28.223844282238442</v>
      </c>
      <c r="CQ316" s="93">
        <f t="shared" si="261"/>
        <v>61.229946524064168</v>
      </c>
      <c r="CR316" s="93">
        <f t="shared" si="262"/>
        <v>100</v>
      </c>
      <c r="CS316" s="93">
        <f t="shared" si="263"/>
        <v>185.51236749116609</v>
      </c>
      <c r="CT316" s="93">
        <f t="shared" si="264"/>
        <v>373.41389728096675</v>
      </c>
      <c r="CU316" s="93">
        <f t="shared" si="265"/>
        <v>521.56862745098044</v>
      </c>
      <c r="CV316" s="93">
        <f t="shared" si="266"/>
        <v>899.99999999999989</v>
      </c>
      <c r="CW316" s="93">
        <f t="shared" si="267"/>
        <v>1433.0708661417323</v>
      </c>
    </row>
    <row r="317" spans="1:101" s="98" customFormat="1">
      <c r="A317" s="3" t="s">
        <v>525</v>
      </c>
      <c r="B317" s="92" t="s">
        <v>244</v>
      </c>
      <c r="C317" s="3"/>
      <c r="D317" s="93">
        <v>11.01</v>
      </c>
      <c r="E317" s="94">
        <v>0.18459999999999999</v>
      </c>
      <c r="F317" s="94">
        <v>2.0999999999999999E-3</v>
      </c>
      <c r="G317" s="95">
        <v>13.06</v>
      </c>
      <c r="H317" s="96">
        <v>0.4</v>
      </c>
      <c r="I317" s="97">
        <v>0.51559999999999995</v>
      </c>
      <c r="J317" s="95">
        <v>1.4E-2</v>
      </c>
      <c r="K317" s="96">
        <v>8.0718999999999999E-2</v>
      </c>
      <c r="M317" s="99">
        <v>2680</v>
      </c>
      <c r="N317" s="98">
        <v>60</v>
      </c>
      <c r="O317" s="99">
        <v>2694</v>
      </c>
      <c r="P317" s="98">
        <v>11</v>
      </c>
      <c r="Q317" s="93">
        <v>0.76</v>
      </c>
      <c r="R317" s="97">
        <v>4.0000000000000001E-3</v>
      </c>
      <c r="T317" s="98">
        <v>100</v>
      </c>
      <c r="U317" s="98">
        <v>140</v>
      </c>
      <c r="V317" s="98">
        <v>0.1</v>
      </c>
      <c r="W317" s="98">
        <v>1.6</v>
      </c>
      <c r="X317" s="98">
        <v>0.2</v>
      </c>
      <c r="Y317" s="98">
        <v>0.19</v>
      </c>
      <c r="Z317" s="98">
        <v>0.72</v>
      </c>
      <c r="AA317" s="98">
        <v>0.43</v>
      </c>
      <c r="AB317" s="98">
        <v>0.25</v>
      </c>
      <c r="AC317" s="98">
        <v>0.19</v>
      </c>
      <c r="AD317" s="98">
        <v>378</v>
      </c>
      <c r="AE317" s="98">
        <v>33</v>
      </c>
      <c r="AF317" s="95" t="s">
        <v>250</v>
      </c>
      <c r="AG317" s="97" t="s">
        <v>250</v>
      </c>
      <c r="AH317" s="96">
        <v>5.0999999999999996</v>
      </c>
      <c r="AI317" s="96">
        <v>1.1000000000000001</v>
      </c>
      <c r="AJ317" s="95">
        <v>4.2000000000000003E-2</v>
      </c>
      <c r="AK317" s="95">
        <v>2.7E-2</v>
      </c>
      <c r="AL317" s="96">
        <v>1.01</v>
      </c>
      <c r="AM317" s="96">
        <v>0.45</v>
      </c>
      <c r="AN317" s="96">
        <v>1.1299999999999999</v>
      </c>
      <c r="AO317" s="96">
        <v>0.56999999999999995</v>
      </c>
      <c r="AP317" s="96">
        <v>0.61</v>
      </c>
      <c r="AQ317" s="96">
        <v>0.23</v>
      </c>
      <c r="AR317" s="96">
        <v>6.9</v>
      </c>
      <c r="AS317" s="93">
        <v>2.2000000000000002</v>
      </c>
      <c r="AT317" s="96">
        <v>2.06</v>
      </c>
      <c r="AU317" s="96">
        <v>0.45</v>
      </c>
      <c r="AV317" s="99">
        <v>27.3</v>
      </c>
      <c r="AW317" s="98">
        <v>3.3</v>
      </c>
      <c r="AX317" s="98">
        <v>10.47</v>
      </c>
      <c r="AY317" s="98">
        <v>0.83</v>
      </c>
      <c r="AZ317" s="98">
        <v>65.3</v>
      </c>
      <c r="BA317" s="98">
        <v>7</v>
      </c>
      <c r="BB317" s="98">
        <v>15.3</v>
      </c>
      <c r="BC317" s="98">
        <v>1.5</v>
      </c>
      <c r="BD317" s="98">
        <v>166</v>
      </c>
      <c r="BE317" s="98">
        <v>17</v>
      </c>
      <c r="BF317" s="98">
        <v>38.200000000000003</v>
      </c>
      <c r="BG317" s="98">
        <v>4.4000000000000004</v>
      </c>
      <c r="BI317" s="93">
        <v>5.9</v>
      </c>
      <c r="BJ317" s="98">
        <v>2.5</v>
      </c>
      <c r="BK317" s="98">
        <v>577000</v>
      </c>
      <c r="BL317" s="98">
        <v>66000</v>
      </c>
      <c r="BM317" s="98">
        <v>10420</v>
      </c>
      <c r="BN317" s="98">
        <v>960</v>
      </c>
      <c r="BO317" s="99">
        <v>16.399999999999999</v>
      </c>
      <c r="BP317" s="98">
        <v>1.4</v>
      </c>
      <c r="BQ317" s="99">
        <v>38</v>
      </c>
      <c r="BR317" s="98">
        <v>3.2</v>
      </c>
      <c r="BT317" s="95">
        <f t="shared" si="247"/>
        <v>0.2289156626506024</v>
      </c>
      <c r="BU317" s="96">
        <f t="shared" si="248"/>
        <v>5.0495049504950495</v>
      </c>
      <c r="BV317" s="96">
        <f t="shared" si="249"/>
        <v>55.374280230326299</v>
      </c>
      <c r="BW317" s="96">
        <f t="shared" si="250"/>
        <v>0.43157894736842101</v>
      </c>
      <c r="BX317" s="99"/>
      <c r="BY317" s="96">
        <f t="shared" si="251"/>
        <v>5.0495049504950495</v>
      </c>
      <c r="BZ317" s="97">
        <f t="shared" si="252"/>
        <v>1.3358478705013358E-2</v>
      </c>
      <c r="CA317" s="95">
        <f t="shared" si="223"/>
        <v>0.66786656602331929</v>
      </c>
      <c r="CB317" s="99">
        <f t="shared" si="243"/>
        <v>62.18842948856603</v>
      </c>
      <c r="CC317" s="99">
        <f t="shared" si="243"/>
        <v>5.2369203779845082</v>
      </c>
      <c r="CD317" s="100">
        <f t="shared" si="253"/>
        <v>723.69141416200569</v>
      </c>
      <c r="CE317" s="100">
        <f t="shared" si="268"/>
        <v>761.52943853971772</v>
      </c>
      <c r="CF317" s="100">
        <f t="shared" si="225"/>
        <v>43.153816799907489</v>
      </c>
      <c r="CG317" s="96">
        <f>2.28+3.99*LOG(AH317/((CB317*BI317)^(1/2)))</f>
        <v>-1.3095391139874124E-2</v>
      </c>
      <c r="CH317" s="96">
        <f t="shared" si="246"/>
        <v>0.60558372551176154</v>
      </c>
      <c r="CJ317" s="95"/>
      <c r="CK317" s="93">
        <f t="shared" si="255"/>
        <v>8.3333333333333321</v>
      </c>
      <c r="CL317" s="93">
        <f t="shared" si="256"/>
        <v>0.44210526315789478</v>
      </c>
      <c r="CM317" s="93">
        <f t="shared" si="257"/>
        <v>2.1627408993576016</v>
      </c>
      <c r="CN317" s="93">
        <f t="shared" si="258"/>
        <v>7.3856209150326793</v>
      </c>
      <c r="CO317" s="93">
        <f t="shared" si="259"/>
        <v>10.517241379310343</v>
      </c>
      <c r="CP317" s="93">
        <f t="shared" si="260"/>
        <v>33.576642335766429</v>
      </c>
      <c r="CQ317" s="93">
        <f t="shared" si="261"/>
        <v>55.080213903743314</v>
      </c>
      <c r="CR317" s="93">
        <f t="shared" si="262"/>
        <v>107.48031496062993</v>
      </c>
      <c r="CS317" s="93">
        <f t="shared" si="263"/>
        <v>184.98233215547705</v>
      </c>
      <c r="CT317" s="93">
        <f t="shared" si="264"/>
        <v>394.56193353474316</v>
      </c>
      <c r="CU317" s="93">
        <f t="shared" si="265"/>
        <v>600.00000000000011</v>
      </c>
      <c r="CV317" s="93">
        <f t="shared" si="266"/>
        <v>976.47058823529403</v>
      </c>
      <c r="CW317" s="93">
        <f t="shared" si="267"/>
        <v>1503.937007874016</v>
      </c>
    </row>
    <row r="318" spans="1:101" s="98" customFormat="1">
      <c r="A318" s="3" t="s">
        <v>526</v>
      </c>
      <c r="B318" s="92" t="s">
        <v>244</v>
      </c>
      <c r="C318" s="3"/>
      <c r="D318" s="93">
        <v>11.012</v>
      </c>
      <c r="E318" s="94">
        <v>0.18390000000000001</v>
      </c>
      <c r="F318" s="94">
        <v>1.1999999999999999E-3</v>
      </c>
      <c r="G318" s="95">
        <v>13.15</v>
      </c>
      <c r="H318" s="96">
        <v>0.4</v>
      </c>
      <c r="I318" s="97">
        <v>0.5202</v>
      </c>
      <c r="J318" s="95">
        <v>1.4E-2</v>
      </c>
      <c r="K318" s="96">
        <v>0.71333000000000002</v>
      </c>
      <c r="M318" s="99">
        <v>2700</v>
      </c>
      <c r="N318" s="98">
        <v>61</v>
      </c>
      <c r="O318" s="99">
        <v>2687.9</v>
      </c>
      <c r="P318" s="98">
        <v>6.1</v>
      </c>
      <c r="Q318" s="93">
        <v>-0.44</v>
      </c>
      <c r="R318" s="97">
        <v>1.42E-3</v>
      </c>
      <c r="T318" s="98">
        <v>264</v>
      </c>
      <c r="U318" s="98">
        <v>75</v>
      </c>
      <c r="V318" s="98">
        <v>0.27</v>
      </c>
      <c r="W318" s="98">
        <v>0.94</v>
      </c>
      <c r="X318" s="98">
        <v>4.1000000000000002E-2</v>
      </c>
      <c r="Y318" s="98">
        <v>8.5999999999999993E-2</v>
      </c>
      <c r="Z318" s="98">
        <v>2.2799999999999998</v>
      </c>
      <c r="AA318" s="98">
        <v>0.66</v>
      </c>
      <c r="AB318" s="98">
        <v>0.56000000000000005</v>
      </c>
      <c r="AC318" s="98">
        <v>0.25</v>
      </c>
      <c r="AD318" s="98">
        <v>1470</v>
      </c>
      <c r="AE318" s="98">
        <v>140</v>
      </c>
      <c r="AF318" s="95">
        <v>2.9000000000000001E-2</v>
      </c>
      <c r="AG318" s="97">
        <v>1.6E-2</v>
      </c>
      <c r="AH318" s="96">
        <v>10.4</v>
      </c>
      <c r="AI318" s="96">
        <v>1</v>
      </c>
      <c r="AJ318" s="95">
        <v>0.27500000000000002</v>
      </c>
      <c r="AK318" s="95">
        <v>6.9000000000000006E-2</v>
      </c>
      <c r="AL318" s="96">
        <v>4.8</v>
      </c>
      <c r="AM318" s="96">
        <v>1.5</v>
      </c>
      <c r="AN318" s="96">
        <v>8.1999999999999993</v>
      </c>
      <c r="AO318" s="96">
        <v>1.7</v>
      </c>
      <c r="AP318" s="96">
        <v>2.44</v>
      </c>
      <c r="AQ318" s="96">
        <v>0.36</v>
      </c>
      <c r="AR318" s="96">
        <v>47.6</v>
      </c>
      <c r="AS318" s="93">
        <v>7.9</v>
      </c>
      <c r="AT318" s="96">
        <v>13</v>
      </c>
      <c r="AU318" s="96">
        <v>1.6</v>
      </c>
      <c r="AV318" s="99">
        <v>139</v>
      </c>
      <c r="AW318" s="98">
        <v>14</v>
      </c>
      <c r="AX318" s="98">
        <v>51.2</v>
      </c>
      <c r="AY318" s="98">
        <v>5.7</v>
      </c>
      <c r="AZ318" s="98">
        <v>212</v>
      </c>
      <c r="BA318" s="98">
        <v>21</v>
      </c>
      <c r="BB318" s="98">
        <v>41.5</v>
      </c>
      <c r="BC318" s="98">
        <v>4.7</v>
      </c>
      <c r="BD318" s="98">
        <v>324</v>
      </c>
      <c r="BE318" s="98">
        <v>23</v>
      </c>
      <c r="BF318" s="98">
        <v>63.7</v>
      </c>
      <c r="BG318" s="98">
        <v>6.4</v>
      </c>
      <c r="BI318" s="93">
        <v>9.8000000000000007</v>
      </c>
      <c r="BJ318" s="98">
        <v>3.5</v>
      </c>
      <c r="BK318" s="98">
        <v>499000</v>
      </c>
      <c r="BL318" s="98">
        <v>54000</v>
      </c>
      <c r="BM318" s="98">
        <v>8790</v>
      </c>
      <c r="BN318" s="98">
        <v>770</v>
      </c>
      <c r="BO318" s="99">
        <v>53.1</v>
      </c>
      <c r="BP318" s="98">
        <v>4.7</v>
      </c>
      <c r="BQ318" s="99">
        <v>58.8</v>
      </c>
      <c r="BR318" s="98">
        <v>5.3</v>
      </c>
      <c r="BT318" s="95">
        <f t="shared" si="247"/>
        <v>0.18148148148148147</v>
      </c>
      <c r="BU318" s="96">
        <f t="shared" si="248"/>
        <v>2.166666666666667</v>
      </c>
      <c r="BV318" s="96">
        <f t="shared" si="249"/>
        <v>56.769055745164962</v>
      </c>
      <c r="BW318" s="96">
        <f t="shared" si="250"/>
        <v>0.90306122448979598</v>
      </c>
      <c r="BX318" s="99">
        <f t="shared" ref="BX318:BX325" si="269">CK318/SQRT(CJ318*CL318)</f>
        <v>28.553052702254249</v>
      </c>
      <c r="BY318" s="96">
        <f t="shared" si="251"/>
        <v>2.166666666666667</v>
      </c>
      <c r="BZ318" s="97">
        <f t="shared" si="252"/>
        <v>1.4739229024943313E-3</v>
      </c>
      <c r="CA318" s="95">
        <f t="shared" si="223"/>
        <v>0.37757485017789</v>
      </c>
      <c r="CB318" s="99">
        <f t="shared" si="243"/>
        <v>96.228411945465325</v>
      </c>
      <c r="CC318" s="99">
        <f t="shared" si="243"/>
        <v>8.6736493760368418</v>
      </c>
      <c r="CD318" s="100">
        <f t="shared" si="253"/>
        <v>771.5011798399297</v>
      </c>
      <c r="CE318" s="100">
        <f t="shared" si="268"/>
        <v>813.13154912645393</v>
      </c>
      <c r="CF318" s="100">
        <f t="shared" si="225"/>
        <v>40.295426020100045</v>
      </c>
      <c r="CG318" s="96">
        <f>2.28+3.99*LOG(AH318/((CB318*BI318)^(1/2)))</f>
        <v>0.40377688197968364</v>
      </c>
      <c r="CH318" s="96">
        <f t="shared" si="246"/>
        <v>0.42695085138685496</v>
      </c>
      <c r="CJ318" s="95">
        <f t="shared" ref="CJ318:CJ325" si="270">AF318/CJ$4</f>
        <v>0.12236286919831225</v>
      </c>
      <c r="CK318" s="93">
        <f t="shared" si="255"/>
        <v>16.993464052287582</v>
      </c>
      <c r="CL318" s="93">
        <f t="shared" si="256"/>
        <v>2.8947368421052633</v>
      </c>
      <c r="CM318" s="93">
        <f t="shared" si="257"/>
        <v>10.278372591006423</v>
      </c>
      <c r="CN318" s="93">
        <f t="shared" si="258"/>
        <v>53.59477124183006</v>
      </c>
      <c r="CO318" s="93">
        <f t="shared" si="259"/>
        <v>42.068965517241374</v>
      </c>
      <c r="CP318" s="93">
        <f t="shared" si="260"/>
        <v>231.63017031630173</v>
      </c>
      <c r="CQ318" s="93">
        <f t="shared" si="261"/>
        <v>347.59358288770051</v>
      </c>
      <c r="CR318" s="93">
        <f t="shared" si="262"/>
        <v>547.24409448818892</v>
      </c>
      <c r="CS318" s="93">
        <f t="shared" si="263"/>
        <v>904.59363957597179</v>
      </c>
      <c r="CT318" s="93">
        <f t="shared" si="264"/>
        <v>1280.9667673716012</v>
      </c>
      <c r="CU318" s="93">
        <f t="shared" si="265"/>
        <v>1627.4509803921569</v>
      </c>
      <c r="CV318" s="93">
        <f t="shared" si="266"/>
        <v>1905.8823529411764</v>
      </c>
      <c r="CW318" s="93">
        <f t="shared" si="267"/>
        <v>2507.8740157480315</v>
      </c>
    </row>
    <row r="319" spans="1:101" s="98" customFormat="1">
      <c r="A319" s="3" t="s">
        <v>527</v>
      </c>
      <c r="B319" s="92" t="s">
        <v>244</v>
      </c>
      <c r="C319" s="3"/>
      <c r="D319" s="93">
        <v>11.037000000000001</v>
      </c>
      <c r="E319" s="94">
        <v>0.18360000000000001</v>
      </c>
      <c r="F319" s="94">
        <v>1.1000000000000001E-3</v>
      </c>
      <c r="G319" s="95">
        <v>12.95</v>
      </c>
      <c r="H319" s="96">
        <v>0.39</v>
      </c>
      <c r="I319" s="97">
        <v>0.51329999999999998</v>
      </c>
      <c r="J319" s="95">
        <v>1.4E-2</v>
      </c>
      <c r="K319" s="96">
        <v>0.72419999999999995</v>
      </c>
      <c r="M319" s="99">
        <v>2671</v>
      </c>
      <c r="N319" s="98">
        <v>60</v>
      </c>
      <c r="O319" s="99">
        <v>2683.7</v>
      </c>
      <c r="P319" s="98">
        <v>5.5</v>
      </c>
      <c r="Q319" s="93">
        <v>0.49</v>
      </c>
      <c r="R319" s="97">
        <v>2E-3</v>
      </c>
      <c r="T319" s="98">
        <v>330</v>
      </c>
      <c r="U319" s="98">
        <v>150</v>
      </c>
      <c r="V319" s="98" t="s">
        <v>250</v>
      </c>
      <c r="W319" s="98" t="s">
        <v>250</v>
      </c>
      <c r="X319" s="98">
        <v>0.22</v>
      </c>
      <c r="Y319" s="98">
        <v>0.19</v>
      </c>
      <c r="Z319" s="98">
        <v>1.95</v>
      </c>
      <c r="AA319" s="98">
        <v>0.72</v>
      </c>
      <c r="AB319" s="98">
        <v>0.43</v>
      </c>
      <c r="AC319" s="98">
        <v>0.25</v>
      </c>
      <c r="AD319" s="98">
        <v>1890</v>
      </c>
      <c r="AE319" s="98">
        <v>240</v>
      </c>
      <c r="AF319" s="95">
        <v>0.03</v>
      </c>
      <c r="AG319" s="97">
        <v>1.4E-2</v>
      </c>
      <c r="AH319" s="96">
        <v>13</v>
      </c>
      <c r="AI319" s="96">
        <v>1.6</v>
      </c>
      <c r="AJ319" s="95">
        <v>0.36599999999999999</v>
      </c>
      <c r="AK319" s="95">
        <v>9.4E-2</v>
      </c>
      <c r="AL319" s="96">
        <v>6.1</v>
      </c>
      <c r="AM319" s="96">
        <v>1.7</v>
      </c>
      <c r="AN319" s="96">
        <v>12.7</v>
      </c>
      <c r="AO319" s="96">
        <v>1.8</v>
      </c>
      <c r="AP319" s="96">
        <v>3.47</v>
      </c>
      <c r="AQ319" s="96">
        <v>0.51</v>
      </c>
      <c r="AR319" s="96">
        <v>54.5</v>
      </c>
      <c r="AS319" s="93">
        <v>6.8</v>
      </c>
      <c r="AT319" s="96">
        <v>17.899999999999999</v>
      </c>
      <c r="AU319" s="96">
        <v>2</v>
      </c>
      <c r="AV319" s="99">
        <v>202</v>
      </c>
      <c r="AW319" s="98">
        <v>18</v>
      </c>
      <c r="AX319" s="98">
        <v>66.400000000000006</v>
      </c>
      <c r="AY319" s="98">
        <v>7.8</v>
      </c>
      <c r="AZ319" s="98">
        <v>288</v>
      </c>
      <c r="BA319" s="98">
        <v>34</v>
      </c>
      <c r="BB319" s="98">
        <v>49</v>
      </c>
      <c r="BC319" s="98">
        <v>4.2</v>
      </c>
      <c r="BD319" s="98">
        <v>424</v>
      </c>
      <c r="BE319" s="98">
        <v>45</v>
      </c>
      <c r="BF319" s="98">
        <v>81.099999999999994</v>
      </c>
      <c r="BG319" s="98">
        <v>9.6999999999999993</v>
      </c>
      <c r="BI319" s="93">
        <v>13</v>
      </c>
      <c r="BJ319" s="98">
        <v>3.4</v>
      </c>
      <c r="BK319" s="98">
        <v>515000</v>
      </c>
      <c r="BL319" s="98">
        <v>50000</v>
      </c>
      <c r="BM319" s="98">
        <v>9300</v>
      </c>
      <c r="BN319" s="98">
        <v>1100</v>
      </c>
      <c r="BO319" s="99">
        <v>67.3</v>
      </c>
      <c r="BP319" s="98">
        <v>6.7</v>
      </c>
      <c r="BQ319" s="99">
        <v>72.099999999999994</v>
      </c>
      <c r="BR319" s="98">
        <v>7.3</v>
      </c>
      <c r="BT319" s="95">
        <f t="shared" si="247"/>
        <v>0.17004716981132073</v>
      </c>
      <c r="BU319" s="96">
        <f t="shared" si="248"/>
        <v>2.1311475409836067</v>
      </c>
      <c r="BV319" s="96">
        <f t="shared" si="249"/>
        <v>55.376344086021504</v>
      </c>
      <c r="BW319" s="96">
        <f t="shared" si="250"/>
        <v>0.93342579750346744</v>
      </c>
      <c r="BX319" s="99">
        <f t="shared" si="269"/>
        <v>30.41772545802095</v>
      </c>
      <c r="BY319" s="96">
        <f t="shared" si="251"/>
        <v>2.1311475409836067</v>
      </c>
      <c r="BZ319" s="97">
        <f t="shared" si="252"/>
        <v>1.1275912915257179E-3</v>
      </c>
      <c r="CA319" s="95">
        <f t="shared" si="223"/>
        <v>0.40323015070353468</v>
      </c>
      <c r="CB319" s="99">
        <f t="shared" si="243"/>
        <v>117.99436226646344</v>
      </c>
      <c r="CC319" s="99">
        <f t="shared" si="243"/>
        <v>11.946724612277158</v>
      </c>
      <c r="CD319" s="100">
        <f t="shared" si="253"/>
        <v>800.16695975690357</v>
      </c>
      <c r="CE319" s="100">
        <f t="shared" si="268"/>
        <v>844.16150404590064</v>
      </c>
      <c r="CF319" s="100">
        <f t="shared" si="225"/>
        <v>32.195784545381578</v>
      </c>
      <c r="CG319" s="96">
        <f t="shared" si="254"/>
        <v>0.36895377944285213</v>
      </c>
      <c r="CH319" s="96">
        <f t="shared" si="246"/>
        <v>0.39280479129833284</v>
      </c>
      <c r="CJ319" s="95">
        <f t="shared" si="270"/>
        <v>0.12658227848101267</v>
      </c>
      <c r="CK319" s="93">
        <f t="shared" si="255"/>
        <v>21.241830065359476</v>
      </c>
      <c r="CL319" s="93">
        <f t="shared" si="256"/>
        <v>3.8526315789473684</v>
      </c>
      <c r="CM319" s="93">
        <f t="shared" si="257"/>
        <v>13.062098501070663</v>
      </c>
      <c r="CN319" s="93">
        <f t="shared" si="258"/>
        <v>83.006535947712422</v>
      </c>
      <c r="CO319" s="93">
        <f t="shared" si="259"/>
        <v>59.827586206896555</v>
      </c>
      <c r="CP319" s="93">
        <f t="shared" si="260"/>
        <v>265.20681265206815</v>
      </c>
      <c r="CQ319" s="93">
        <f t="shared" si="261"/>
        <v>478.6096256684491</v>
      </c>
      <c r="CR319" s="93">
        <f t="shared" si="262"/>
        <v>795.27559055118104</v>
      </c>
      <c r="CS319" s="93">
        <f t="shared" si="263"/>
        <v>1173.1448763250885</v>
      </c>
      <c r="CT319" s="93">
        <f t="shared" si="264"/>
        <v>1740.1812688821751</v>
      </c>
      <c r="CU319" s="93">
        <f t="shared" si="265"/>
        <v>1921.5686274509806</v>
      </c>
      <c r="CV319" s="93">
        <f t="shared" si="266"/>
        <v>2494.1176470588234</v>
      </c>
      <c r="CW319" s="93">
        <f t="shared" si="267"/>
        <v>3192.9133858267714</v>
      </c>
    </row>
    <row r="320" spans="1:101" s="98" customFormat="1">
      <c r="A320" s="3" t="s">
        <v>528</v>
      </c>
      <c r="B320" s="92" t="s">
        <v>244</v>
      </c>
      <c r="C320" s="3"/>
      <c r="D320" s="93">
        <v>11.023999999999999</v>
      </c>
      <c r="E320" s="94">
        <v>0.18390000000000001</v>
      </c>
      <c r="F320" s="94">
        <v>2.8E-3</v>
      </c>
      <c r="G320" s="95">
        <v>12.87</v>
      </c>
      <c r="H320" s="96">
        <v>0.42</v>
      </c>
      <c r="I320" s="97">
        <v>0.51100000000000001</v>
      </c>
      <c r="J320" s="95">
        <v>1.4E-2</v>
      </c>
      <c r="K320" s="96">
        <v>0.35907</v>
      </c>
      <c r="M320" s="99">
        <v>2661</v>
      </c>
      <c r="N320" s="98">
        <v>60</v>
      </c>
      <c r="O320" s="99">
        <v>2686</v>
      </c>
      <c r="P320" s="98">
        <v>16</v>
      </c>
      <c r="Q320" s="93">
        <v>0.9</v>
      </c>
      <c r="R320" s="97">
        <v>5.4000000000000003E-3</v>
      </c>
      <c r="T320" s="98">
        <v>100</v>
      </c>
      <c r="U320" s="98">
        <v>110</v>
      </c>
      <c r="V320" s="98">
        <v>0.26</v>
      </c>
      <c r="W320" s="98">
        <v>0.73</v>
      </c>
      <c r="X320" s="98">
        <v>3.6999999999999998E-2</v>
      </c>
      <c r="Y320" s="98">
        <v>7.6999999999999999E-2</v>
      </c>
      <c r="Z320" s="98">
        <v>1.0900000000000001</v>
      </c>
      <c r="AA320" s="98">
        <v>0.53</v>
      </c>
      <c r="AB320" s="98">
        <v>0.19</v>
      </c>
      <c r="AC320" s="98">
        <v>0.15</v>
      </c>
      <c r="AD320" s="98">
        <v>409</v>
      </c>
      <c r="AE320" s="98">
        <v>46</v>
      </c>
      <c r="AF320" s="95">
        <v>4.2999999999999997E-2</v>
      </c>
      <c r="AG320" s="97">
        <v>2.5999999999999999E-2</v>
      </c>
      <c r="AH320" s="96">
        <v>5.47</v>
      </c>
      <c r="AI320" s="96">
        <v>0.81</v>
      </c>
      <c r="AJ320" s="95">
        <v>4.2000000000000003E-2</v>
      </c>
      <c r="AK320" s="95">
        <v>2.7E-2</v>
      </c>
      <c r="AL320" s="96">
        <v>0.79</v>
      </c>
      <c r="AM320" s="96">
        <v>0.37</v>
      </c>
      <c r="AN320" s="96">
        <v>2.9</v>
      </c>
      <c r="AO320" s="96">
        <v>1.1000000000000001</v>
      </c>
      <c r="AP320" s="96">
        <v>0.51</v>
      </c>
      <c r="AQ320" s="96">
        <v>0.19</v>
      </c>
      <c r="AR320" s="96">
        <v>8.6</v>
      </c>
      <c r="AS320" s="93">
        <v>2.2999999999999998</v>
      </c>
      <c r="AT320" s="96">
        <v>2.71</v>
      </c>
      <c r="AU320" s="96">
        <v>0.4</v>
      </c>
      <c r="AV320" s="99">
        <v>38</v>
      </c>
      <c r="AW320" s="98">
        <v>4.4000000000000004</v>
      </c>
      <c r="AX320" s="98">
        <v>12.4</v>
      </c>
      <c r="AY320" s="98">
        <v>1</v>
      </c>
      <c r="AZ320" s="98">
        <v>65</v>
      </c>
      <c r="BA320" s="98">
        <v>7</v>
      </c>
      <c r="BB320" s="98">
        <v>15.1</v>
      </c>
      <c r="BC320" s="98">
        <v>2.2000000000000002</v>
      </c>
      <c r="BD320" s="98">
        <v>121</v>
      </c>
      <c r="BE320" s="98">
        <v>12</v>
      </c>
      <c r="BF320" s="98">
        <v>25</v>
      </c>
      <c r="BG320" s="98">
        <v>3.7</v>
      </c>
      <c r="BI320" s="93">
        <v>7</v>
      </c>
      <c r="BJ320" s="98">
        <v>2.9</v>
      </c>
      <c r="BK320" s="98">
        <v>507000</v>
      </c>
      <c r="BL320" s="98">
        <v>56000</v>
      </c>
      <c r="BM320" s="98">
        <v>9270</v>
      </c>
      <c r="BN320" s="98">
        <v>920</v>
      </c>
      <c r="BO320" s="99">
        <v>15.8</v>
      </c>
      <c r="BP320" s="98">
        <v>1.6</v>
      </c>
      <c r="BQ320" s="99">
        <v>25.1</v>
      </c>
      <c r="BR320" s="98">
        <v>2.2000000000000002</v>
      </c>
      <c r="BT320" s="95">
        <f t="shared" si="247"/>
        <v>0.20743801652892563</v>
      </c>
      <c r="BU320" s="96">
        <f t="shared" si="248"/>
        <v>6.924050632911392</v>
      </c>
      <c r="BV320" s="96">
        <f t="shared" si="249"/>
        <v>54.692556634304211</v>
      </c>
      <c r="BW320" s="96">
        <f t="shared" si="250"/>
        <v>0.62948207171314741</v>
      </c>
      <c r="BX320" s="99">
        <f t="shared" si="269"/>
        <v>31.558256872738479</v>
      </c>
      <c r="BY320" s="96">
        <f t="shared" si="251"/>
        <v>6.924050632911392</v>
      </c>
      <c r="BZ320" s="97">
        <f t="shared" si="252"/>
        <v>1.6929219151372597E-2</v>
      </c>
      <c r="CA320" s="95">
        <f t="shared" si="223"/>
        <v>0.31220912094041731</v>
      </c>
      <c r="CB320" s="99">
        <f t="shared" si="243"/>
        <v>41.077094214815986</v>
      </c>
      <c r="CC320" s="99">
        <f t="shared" si="243"/>
        <v>3.6003827598643494</v>
      </c>
      <c r="CD320" s="100">
        <f t="shared" si="253"/>
        <v>739.30248567452486</v>
      </c>
      <c r="CE320" s="100">
        <f t="shared" si="268"/>
        <v>778.35813374744305</v>
      </c>
      <c r="CF320" s="100">
        <f t="shared" si="225"/>
        <v>43.529649325623524</v>
      </c>
      <c r="CG320" s="96">
        <f t="shared" si="254"/>
        <v>0.31946741259324907</v>
      </c>
      <c r="CH320" s="96">
        <f t="shared" si="246"/>
        <v>0.52217518387431416</v>
      </c>
      <c r="CJ320" s="95">
        <f t="shared" si="270"/>
        <v>0.18143459915611815</v>
      </c>
      <c r="CK320" s="93">
        <f t="shared" si="255"/>
        <v>8.9379084967320264</v>
      </c>
      <c r="CL320" s="93">
        <f t="shared" si="256"/>
        <v>0.44210526315789478</v>
      </c>
      <c r="CM320" s="93">
        <f t="shared" si="257"/>
        <v>1.6916488222698072</v>
      </c>
      <c r="CN320" s="93">
        <f t="shared" si="258"/>
        <v>18.954248366013072</v>
      </c>
      <c r="CO320" s="93">
        <f t="shared" si="259"/>
        <v>8.7931034482758612</v>
      </c>
      <c r="CP320" s="93">
        <f t="shared" si="260"/>
        <v>41.849148418491488</v>
      </c>
      <c r="CQ320" s="93">
        <f t="shared" si="261"/>
        <v>72.459893048128336</v>
      </c>
      <c r="CR320" s="93">
        <f t="shared" si="262"/>
        <v>149.60629921259843</v>
      </c>
      <c r="CS320" s="93">
        <f t="shared" si="263"/>
        <v>219.08127208480568</v>
      </c>
      <c r="CT320" s="93">
        <f t="shared" si="264"/>
        <v>392.7492447129909</v>
      </c>
      <c r="CU320" s="93">
        <f t="shared" si="265"/>
        <v>592.15686274509801</v>
      </c>
      <c r="CV320" s="93">
        <f t="shared" si="266"/>
        <v>711.76470588235293</v>
      </c>
      <c r="CW320" s="93">
        <f t="shared" si="267"/>
        <v>984.25196850393706</v>
      </c>
    </row>
    <row r="321" spans="1:101" s="98" customFormat="1">
      <c r="A321" s="3" t="s">
        <v>529</v>
      </c>
      <c r="B321" s="92" t="s">
        <v>244</v>
      </c>
      <c r="C321" s="3"/>
      <c r="D321" s="93">
        <v>11.031000000000001</v>
      </c>
      <c r="E321" s="94">
        <v>0.18329999999999999</v>
      </c>
      <c r="F321" s="94">
        <v>2.0999999999999999E-3</v>
      </c>
      <c r="G321" s="95">
        <v>12.97</v>
      </c>
      <c r="H321" s="96">
        <v>0.41</v>
      </c>
      <c r="I321" s="97">
        <v>0.51500000000000001</v>
      </c>
      <c r="J321" s="95">
        <v>1.4E-2</v>
      </c>
      <c r="K321" s="96">
        <v>0.34855000000000003</v>
      </c>
      <c r="M321" s="99">
        <v>2678</v>
      </c>
      <c r="N321" s="98">
        <v>60</v>
      </c>
      <c r="O321" s="99">
        <v>2682</v>
      </c>
      <c r="P321" s="98">
        <v>12</v>
      </c>
      <c r="Q321" s="93">
        <v>0.13</v>
      </c>
      <c r="R321" s="97">
        <v>2.8999999999999998E-3</v>
      </c>
      <c r="T321" s="98">
        <v>320</v>
      </c>
      <c r="U321" s="98">
        <v>100</v>
      </c>
      <c r="V321" s="98">
        <v>0.4</v>
      </c>
      <c r="W321" s="98">
        <v>1.3</v>
      </c>
      <c r="X321" s="98">
        <v>0.12</v>
      </c>
      <c r="Y321" s="98">
        <v>0.14000000000000001</v>
      </c>
      <c r="Z321" s="98">
        <v>1.64</v>
      </c>
      <c r="AA321" s="98">
        <v>0.73</v>
      </c>
      <c r="AB321" s="98">
        <v>0.56000000000000005</v>
      </c>
      <c r="AC321" s="98">
        <v>0.28999999999999998</v>
      </c>
      <c r="AD321" s="98">
        <v>803</v>
      </c>
      <c r="AE321" s="98">
        <v>94</v>
      </c>
      <c r="AF321" s="95">
        <v>1.4999999999999999E-2</v>
      </c>
      <c r="AG321" s="97">
        <v>1.2999999999999999E-2</v>
      </c>
      <c r="AH321" s="96">
        <v>6.9</v>
      </c>
      <c r="AI321" s="96">
        <v>1.3</v>
      </c>
      <c r="AJ321" s="95">
        <v>6.0999999999999999E-2</v>
      </c>
      <c r="AK321" s="95">
        <v>3.9E-2</v>
      </c>
      <c r="AL321" s="96">
        <v>1.1299999999999999</v>
      </c>
      <c r="AM321" s="96">
        <v>0.51</v>
      </c>
      <c r="AN321" s="96">
        <v>3.6</v>
      </c>
      <c r="AO321" s="96">
        <v>1.3</v>
      </c>
      <c r="AP321" s="96">
        <v>0.79</v>
      </c>
      <c r="AQ321" s="96">
        <v>0.26</v>
      </c>
      <c r="AR321" s="96">
        <v>19.399999999999999</v>
      </c>
      <c r="AS321" s="93">
        <v>3.9</v>
      </c>
      <c r="AT321" s="96">
        <v>6.1</v>
      </c>
      <c r="AU321" s="96">
        <v>1.1000000000000001</v>
      </c>
      <c r="AV321" s="99">
        <v>71.599999999999994</v>
      </c>
      <c r="AW321" s="98">
        <v>6.8</v>
      </c>
      <c r="AX321" s="98">
        <v>26.5</v>
      </c>
      <c r="AY321" s="98">
        <v>2.7</v>
      </c>
      <c r="AZ321" s="98">
        <v>120</v>
      </c>
      <c r="BA321" s="98">
        <v>10</v>
      </c>
      <c r="BB321" s="98">
        <v>23.7</v>
      </c>
      <c r="BC321" s="98">
        <v>2.9</v>
      </c>
      <c r="BD321" s="98">
        <v>218</v>
      </c>
      <c r="BE321" s="98">
        <v>19</v>
      </c>
      <c r="BF321" s="98">
        <v>42.2</v>
      </c>
      <c r="BG321" s="98">
        <v>4.4000000000000004</v>
      </c>
      <c r="BI321" s="93">
        <v>12.9</v>
      </c>
      <c r="BJ321" s="98">
        <v>3.8</v>
      </c>
      <c r="BK321" s="98">
        <v>531000</v>
      </c>
      <c r="BL321" s="98">
        <v>59000</v>
      </c>
      <c r="BM321" s="98">
        <v>9400</v>
      </c>
      <c r="BN321" s="98">
        <v>870</v>
      </c>
      <c r="BO321" s="99">
        <v>23.3</v>
      </c>
      <c r="BP321" s="98">
        <v>1.8</v>
      </c>
      <c r="BQ321" s="99">
        <v>40</v>
      </c>
      <c r="BR321" s="98">
        <v>2.9</v>
      </c>
      <c r="BT321" s="95">
        <f t="shared" si="247"/>
        <v>0.1834862385321101</v>
      </c>
      <c r="BU321" s="96">
        <f t="shared" si="248"/>
        <v>6.1061946902654878</v>
      </c>
      <c r="BV321" s="96">
        <f t="shared" si="249"/>
        <v>56.48936170212766</v>
      </c>
      <c r="BW321" s="96">
        <f t="shared" si="250"/>
        <v>0.58250000000000002</v>
      </c>
      <c r="BX321" s="99">
        <f t="shared" si="269"/>
        <v>55.927202617448884</v>
      </c>
      <c r="BY321" s="96">
        <f t="shared" si="251"/>
        <v>6.1061946902654878</v>
      </c>
      <c r="BZ321" s="97">
        <f t="shared" si="252"/>
        <v>7.6042275096705947E-3</v>
      </c>
      <c r="CA321" s="95">
        <f t="shared" si="223"/>
        <v>0.28900051115501352</v>
      </c>
      <c r="CB321" s="99">
        <f t="shared" si="243"/>
        <v>65.461504724806346</v>
      </c>
      <c r="CC321" s="99">
        <f t="shared" si="243"/>
        <v>4.7459590925484605</v>
      </c>
      <c r="CD321" s="100">
        <f t="shared" si="253"/>
        <v>799.36268230792496</v>
      </c>
      <c r="CE321" s="100">
        <f t="shared" si="268"/>
        <v>843.2899684897817</v>
      </c>
      <c r="CF321" s="100">
        <f t="shared" si="225"/>
        <v>35.636055800326702</v>
      </c>
      <c r="CG321" s="96">
        <f t="shared" si="254"/>
        <v>-0.21151063799866376</v>
      </c>
      <c r="CH321" s="96">
        <f t="shared" si="246"/>
        <v>0.46601863596408555</v>
      </c>
      <c r="CJ321" s="95">
        <f t="shared" si="270"/>
        <v>6.3291139240506333E-2</v>
      </c>
      <c r="CK321" s="93">
        <f t="shared" si="255"/>
        <v>11.274509803921569</v>
      </c>
      <c r="CL321" s="93">
        <f t="shared" si="256"/>
        <v>0.64210526315789473</v>
      </c>
      <c r="CM321" s="93">
        <f t="shared" si="257"/>
        <v>2.4197002141327619</v>
      </c>
      <c r="CN321" s="93">
        <f t="shared" si="258"/>
        <v>23.529411764705884</v>
      </c>
      <c r="CO321" s="93">
        <f t="shared" si="259"/>
        <v>13.620689655172415</v>
      </c>
      <c r="CP321" s="93">
        <f t="shared" si="260"/>
        <v>94.40389294403893</v>
      </c>
      <c r="CQ321" s="93">
        <f t="shared" si="261"/>
        <v>163.10160427807486</v>
      </c>
      <c r="CR321" s="93">
        <f t="shared" si="262"/>
        <v>281.88976377952753</v>
      </c>
      <c r="CS321" s="93">
        <f t="shared" si="263"/>
        <v>468.19787985865725</v>
      </c>
      <c r="CT321" s="93">
        <f t="shared" si="264"/>
        <v>725.07552870090626</v>
      </c>
      <c r="CU321" s="93">
        <f t="shared" si="265"/>
        <v>929.41176470588243</v>
      </c>
      <c r="CV321" s="93">
        <f t="shared" si="266"/>
        <v>1282.3529411764705</v>
      </c>
      <c r="CW321" s="93">
        <f t="shared" si="267"/>
        <v>1661.4173228346458</v>
      </c>
    </row>
    <row r="322" spans="1:101" s="98" customFormat="1">
      <c r="A322" s="3" t="s">
        <v>530</v>
      </c>
      <c r="B322" s="92" t="s">
        <v>244</v>
      </c>
      <c r="C322" s="3"/>
      <c r="D322" s="93">
        <v>11.087999999999999</v>
      </c>
      <c r="E322" s="94">
        <v>0.18360000000000001</v>
      </c>
      <c r="F322" s="94">
        <v>2.0999999999999999E-3</v>
      </c>
      <c r="G322" s="95">
        <v>12.84</v>
      </c>
      <c r="H322" s="96">
        <v>0.39</v>
      </c>
      <c r="I322" s="97">
        <v>0.50900000000000001</v>
      </c>
      <c r="J322" s="95">
        <v>1.4E-2</v>
      </c>
      <c r="K322" s="96">
        <v>2.9363E-2</v>
      </c>
      <c r="M322" s="99">
        <v>2652</v>
      </c>
      <c r="N322" s="98">
        <v>59</v>
      </c>
      <c r="O322" s="99">
        <v>2685.6</v>
      </c>
      <c r="P322" s="98">
        <v>9.1999999999999993</v>
      </c>
      <c r="Q322" s="93">
        <v>1.22</v>
      </c>
      <c r="R322" s="97">
        <v>5.4000000000000003E-3</v>
      </c>
      <c r="T322" s="98">
        <v>260</v>
      </c>
      <c r="U322" s="98">
        <v>160</v>
      </c>
      <c r="V322" s="98">
        <v>0.7</v>
      </c>
      <c r="W322" s="98">
        <v>1.2</v>
      </c>
      <c r="X322" s="98">
        <v>3.4000000000000002E-2</v>
      </c>
      <c r="Y322" s="98">
        <v>7.0999999999999994E-2</v>
      </c>
      <c r="Z322" s="98">
        <v>0.7</v>
      </c>
      <c r="AA322" s="98">
        <v>0.31</v>
      </c>
      <c r="AB322" s="98">
        <v>0.47</v>
      </c>
      <c r="AC322" s="98">
        <v>0.32</v>
      </c>
      <c r="AD322" s="98">
        <v>890</v>
      </c>
      <c r="AE322" s="98">
        <v>110</v>
      </c>
      <c r="AF322" s="95">
        <v>2.9000000000000001E-2</v>
      </c>
      <c r="AG322" s="97">
        <v>1.7999999999999999E-2</v>
      </c>
      <c r="AH322" s="96">
        <v>8.6</v>
      </c>
      <c r="AI322" s="96">
        <v>1.9</v>
      </c>
      <c r="AJ322" s="95">
        <v>0.16400000000000001</v>
      </c>
      <c r="AK322" s="95">
        <v>4.8000000000000001E-2</v>
      </c>
      <c r="AL322" s="96">
        <v>2.41</v>
      </c>
      <c r="AM322" s="96">
        <v>0.81</v>
      </c>
      <c r="AN322" s="96">
        <v>5</v>
      </c>
      <c r="AO322" s="96">
        <v>1.3</v>
      </c>
      <c r="AP322" s="96">
        <v>1.04</v>
      </c>
      <c r="AQ322" s="96">
        <v>0.23</v>
      </c>
      <c r="AR322" s="96">
        <v>23.2</v>
      </c>
      <c r="AS322" s="93">
        <v>3.4</v>
      </c>
      <c r="AT322" s="96">
        <v>7.7</v>
      </c>
      <c r="AU322" s="96">
        <v>1.3</v>
      </c>
      <c r="AV322" s="99">
        <v>89</v>
      </c>
      <c r="AW322" s="98">
        <v>13</v>
      </c>
      <c r="AX322" s="98">
        <v>31.8</v>
      </c>
      <c r="AY322" s="98">
        <v>4.5999999999999996</v>
      </c>
      <c r="AZ322" s="98">
        <v>147</v>
      </c>
      <c r="BA322" s="98">
        <v>21</v>
      </c>
      <c r="BB322" s="98">
        <v>26.2</v>
      </c>
      <c r="BC322" s="98">
        <v>3.6</v>
      </c>
      <c r="BD322" s="98">
        <v>230</v>
      </c>
      <c r="BE322" s="98">
        <v>24</v>
      </c>
      <c r="BF322" s="98">
        <v>43.5</v>
      </c>
      <c r="BG322" s="98">
        <v>5.6</v>
      </c>
      <c r="BI322" s="93">
        <v>11.8</v>
      </c>
      <c r="BJ322" s="98">
        <v>3.8</v>
      </c>
      <c r="BK322" s="98">
        <v>500000</v>
      </c>
      <c r="BL322" s="98">
        <v>61000</v>
      </c>
      <c r="BM322" s="98">
        <v>8130</v>
      </c>
      <c r="BN322" s="98">
        <v>690</v>
      </c>
      <c r="BO322" s="99">
        <v>30.2</v>
      </c>
      <c r="BP322" s="98">
        <v>3.7</v>
      </c>
      <c r="BQ322" s="99">
        <v>41.8</v>
      </c>
      <c r="BR322" s="98">
        <v>5.0999999999999996</v>
      </c>
      <c r="BT322" s="95">
        <f t="shared" si="247"/>
        <v>0.1817391304347826</v>
      </c>
      <c r="BU322" s="96">
        <f t="shared" si="248"/>
        <v>3.5684647302904562</v>
      </c>
      <c r="BV322" s="96">
        <f t="shared" si="249"/>
        <v>61.500615006150063</v>
      </c>
      <c r="BW322" s="96">
        <f t="shared" si="250"/>
        <v>0.72248803827751196</v>
      </c>
      <c r="BX322" s="99">
        <f t="shared" si="269"/>
        <v>30.574691365844494</v>
      </c>
      <c r="BY322" s="96">
        <f t="shared" si="251"/>
        <v>3.5684647302904562</v>
      </c>
      <c r="BZ322" s="97">
        <f t="shared" si="252"/>
        <v>4.0095109329106246E-3</v>
      </c>
      <c r="CA322" s="95">
        <f t="shared" si="223"/>
        <v>0.29520790289726762</v>
      </c>
      <c r="CB322" s="99">
        <f t="shared" si="243"/>
        <v>68.407272437422634</v>
      </c>
      <c r="CC322" s="99">
        <f t="shared" si="243"/>
        <v>8.3463418524128095</v>
      </c>
      <c r="CD322" s="100">
        <f t="shared" si="253"/>
        <v>790.16621490863702</v>
      </c>
      <c r="CE322" s="100">
        <f t="shared" si="268"/>
        <v>833.32824647318319</v>
      </c>
      <c r="CF322" s="100">
        <f t="shared" si="225"/>
        <v>37.948236672757574</v>
      </c>
      <c r="CG322" s="96">
        <f t="shared" si="254"/>
        <v>0.2092151784508931</v>
      </c>
      <c r="CH322" s="96">
        <f t="shared" si="246"/>
        <v>0.58108437298604587</v>
      </c>
      <c r="CJ322" s="95">
        <f t="shared" si="270"/>
        <v>0.12236286919831225</v>
      </c>
      <c r="CK322" s="93">
        <f t="shared" si="255"/>
        <v>14.052287581699346</v>
      </c>
      <c r="CL322" s="93">
        <f t="shared" si="256"/>
        <v>1.7263157894736842</v>
      </c>
      <c r="CM322" s="93">
        <f t="shared" si="257"/>
        <v>5.1605995717344753</v>
      </c>
      <c r="CN322" s="93">
        <f t="shared" si="258"/>
        <v>32.679738562091501</v>
      </c>
      <c r="CO322" s="93">
        <f t="shared" si="259"/>
        <v>17.931034482758619</v>
      </c>
      <c r="CP322" s="93">
        <f t="shared" si="260"/>
        <v>112.89537712895377</v>
      </c>
      <c r="CQ322" s="93">
        <f t="shared" si="261"/>
        <v>205.88235294117646</v>
      </c>
      <c r="CR322" s="93">
        <f t="shared" si="262"/>
        <v>350.39370078740154</v>
      </c>
      <c r="CS322" s="93">
        <f t="shared" si="263"/>
        <v>561.83745583038876</v>
      </c>
      <c r="CT322" s="93">
        <f t="shared" si="264"/>
        <v>888.21752265861028</v>
      </c>
      <c r="CU322" s="93">
        <f t="shared" si="265"/>
        <v>1027.4509803921569</v>
      </c>
      <c r="CV322" s="93">
        <f t="shared" si="266"/>
        <v>1352.9411764705881</v>
      </c>
      <c r="CW322" s="93">
        <f t="shared" si="267"/>
        <v>1712.5984251968505</v>
      </c>
    </row>
    <row r="323" spans="1:101" s="98" customFormat="1">
      <c r="A323" s="3" t="s">
        <v>531</v>
      </c>
      <c r="B323" s="92" t="s">
        <v>244</v>
      </c>
      <c r="C323" s="3"/>
      <c r="D323" s="93">
        <v>11.005000000000001</v>
      </c>
      <c r="E323" s="94">
        <v>0.18290000000000001</v>
      </c>
      <c r="F323" s="94">
        <v>2.3999999999999998E-3</v>
      </c>
      <c r="G323" s="95">
        <v>12.88</v>
      </c>
      <c r="H323" s="96">
        <v>0.41</v>
      </c>
      <c r="I323" s="97">
        <v>0.51270000000000004</v>
      </c>
      <c r="J323" s="95">
        <v>1.4E-2</v>
      </c>
      <c r="K323" s="96">
        <v>0.25026999999999999</v>
      </c>
      <c r="M323" s="99">
        <v>2668</v>
      </c>
      <c r="N323" s="98">
        <v>60</v>
      </c>
      <c r="O323" s="99">
        <v>2683</v>
      </c>
      <c r="P323" s="98">
        <v>16</v>
      </c>
      <c r="Q323" s="93">
        <v>0.5</v>
      </c>
      <c r="R323" s="97">
        <v>5.1999999999999998E-3</v>
      </c>
      <c r="T323" s="98">
        <v>273</v>
      </c>
      <c r="U323" s="98">
        <v>98</v>
      </c>
      <c r="V323" s="98">
        <v>0</v>
      </c>
      <c r="W323" s="98">
        <v>1.2</v>
      </c>
      <c r="X323" s="98">
        <v>0.12</v>
      </c>
      <c r="Y323" s="98">
        <v>0.14000000000000001</v>
      </c>
      <c r="Z323" s="98">
        <v>1.85</v>
      </c>
      <c r="AA323" s="98">
        <v>0.71</v>
      </c>
      <c r="AB323" s="98">
        <v>0.51</v>
      </c>
      <c r="AC323" s="98">
        <v>0.24</v>
      </c>
      <c r="AD323" s="98">
        <v>593</v>
      </c>
      <c r="AE323" s="98">
        <v>55</v>
      </c>
      <c r="AF323" s="95">
        <v>1.1999999999999999E-3</v>
      </c>
      <c r="AG323" s="97">
        <v>4.7000000000000002E-3</v>
      </c>
      <c r="AH323" s="96">
        <v>7.3</v>
      </c>
      <c r="AI323" s="96">
        <v>1.2</v>
      </c>
      <c r="AJ323" s="95">
        <v>1.4E-2</v>
      </c>
      <c r="AK323" s="95">
        <v>1.4999999999999999E-2</v>
      </c>
      <c r="AL323" s="96">
        <v>0.56000000000000005</v>
      </c>
      <c r="AM323" s="96">
        <v>0.35</v>
      </c>
      <c r="AN323" s="96">
        <v>1.7</v>
      </c>
      <c r="AO323" s="96">
        <v>0.7</v>
      </c>
      <c r="AP323" s="96">
        <v>0.56999999999999995</v>
      </c>
      <c r="AQ323" s="96">
        <v>0.2</v>
      </c>
      <c r="AR323" s="96">
        <v>12.9</v>
      </c>
      <c r="AS323" s="93">
        <v>3</v>
      </c>
      <c r="AT323" s="96">
        <v>3.99</v>
      </c>
      <c r="AU323" s="96">
        <v>0.87</v>
      </c>
      <c r="AV323" s="99">
        <v>50.3</v>
      </c>
      <c r="AW323" s="98">
        <v>5.7</v>
      </c>
      <c r="AX323" s="98">
        <v>18</v>
      </c>
      <c r="AY323" s="98">
        <v>2.2000000000000002</v>
      </c>
      <c r="AZ323" s="98">
        <v>91.6</v>
      </c>
      <c r="BA323" s="98">
        <v>8.3000000000000007</v>
      </c>
      <c r="BB323" s="98">
        <v>19.3</v>
      </c>
      <c r="BC323" s="98">
        <v>1.7</v>
      </c>
      <c r="BD323" s="98">
        <v>174</v>
      </c>
      <c r="BE323" s="98">
        <v>16</v>
      </c>
      <c r="BF323" s="98">
        <v>36.6</v>
      </c>
      <c r="BG323" s="98">
        <v>2.8</v>
      </c>
      <c r="BI323" s="93">
        <v>10</v>
      </c>
      <c r="BJ323" s="98">
        <v>2.4</v>
      </c>
      <c r="BK323" s="98">
        <v>516000</v>
      </c>
      <c r="BL323" s="98">
        <v>48000</v>
      </c>
      <c r="BM323" s="98">
        <v>9370</v>
      </c>
      <c r="BN323" s="98">
        <v>890</v>
      </c>
      <c r="BO323" s="99">
        <v>18.100000000000001</v>
      </c>
      <c r="BP323" s="98">
        <v>1.4</v>
      </c>
      <c r="BQ323" s="99">
        <v>37.1</v>
      </c>
      <c r="BR323" s="98">
        <v>2.9</v>
      </c>
      <c r="BT323" s="95">
        <f t="shared" si="247"/>
        <v>0.2132183908045977</v>
      </c>
      <c r="BU323" s="96">
        <f t="shared" si="248"/>
        <v>13.035714285714285</v>
      </c>
      <c r="BV323" s="96">
        <f t="shared" si="249"/>
        <v>55.069370330843114</v>
      </c>
      <c r="BW323" s="96">
        <f t="shared" si="250"/>
        <v>0.48787061994609165</v>
      </c>
      <c r="BX323" s="99">
        <f t="shared" si="269"/>
        <v>436.66941342230245</v>
      </c>
      <c r="BY323" s="96">
        <f t="shared" si="251"/>
        <v>13.035714285714285</v>
      </c>
      <c r="BZ323" s="97">
        <f t="shared" si="252"/>
        <v>2.1982654781980245E-2</v>
      </c>
      <c r="CA323" s="95">
        <f t="shared" si="223"/>
        <v>0.37211671189942391</v>
      </c>
      <c r="CB323" s="99">
        <f t="shared" si="243"/>
        <v>60.715545632257893</v>
      </c>
      <c r="CC323" s="99">
        <f t="shared" si="243"/>
        <v>4.7459590925484605</v>
      </c>
      <c r="CD323" s="100">
        <f t="shared" si="253"/>
        <v>773.49977729714794</v>
      </c>
      <c r="CE323" s="100">
        <f t="shared" si="268"/>
        <v>815.29277745211232</v>
      </c>
      <c r="CF323" s="100">
        <f t="shared" si="225"/>
        <v>28.592315292948079</v>
      </c>
      <c r="CG323" s="96">
        <f t="shared" si="254"/>
        <v>0.17197490690457595</v>
      </c>
      <c r="CH323" s="96">
        <f t="shared" si="246"/>
        <v>0.41076594764504987</v>
      </c>
      <c r="CJ323" s="95">
        <f t="shared" si="270"/>
        <v>5.0632911392405064E-3</v>
      </c>
      <c r="CK323" s="93">
        <f t="shared" si="255"/>
        <v>11.928104575163399</v>
      </c>
      <c r="CL323" s="93">
        <f t="shared" si="256"/>
        <v>0.14736842105263159</v>
      </c>
      <c r="CM323" s="93">
        <f t="shared" si="257"/>
        <v>1.1991434689507494</v>
      </c>
      <c r="CN323" s="93">
        <f t="shared" si="258"/>
        <v>11.111111111111111</v>
      </c>
      <c r="CO323" s="93">
        <f t="shared" si="259"/>
        <v>9.8275862068965498</v>
      </c>
      <c r="CP323" s="93">
        <f t="shared" si="260"/>
        <v>62.773722627737229</v>
      </c>
      <c r="CQ323" s="93">
        <f t="shared" si="261"/>
        <v>106.68449197860963</v>
      </c>
      <c r="CR323" s="93">
        <f t="shared" si="262"/>
        <v>198.03149606299212</v>
      </c>
      <c r="CS323" s="93">
        <f t="shared" si="263"/>
        <v>318.02120141342755</v>
      </c>
      <c r="CT323" s="93">
        <f t="shared" si="264"/>
        <v>553.47432024169177</v>
      </c>
      <c r="CU323" s="93">
        <f t="shared" si="265"/>
        <v>756.86274509803934</v>
      </c>
      <c r="CV323" s="93">
        <f t="shared" si="266"/>
        <v>1023.5294117647059</v>
      </c>
      <c r="CW323" s="93">
        <f t="shared" si="267"/>
        <v>1440.9448818897638</v>
      </c>
    </row>
    <row r="324" spans="1:101" s="98" customFormat="1">
      <c r="A324" s="3" t="s">
        <v>532</v>
      </c>
      <c r="B324" s="92" t="s">
        <v>244</v>
      </c>
      <c r="C324" s="3"/>
      <c r="D324" s="93">
        <v>11.081</v>
      </c>
      <c r="E324" s="94">
        <v>0.18429999999999999</v>
      </c>
      <c r="F324" s="94">
        <v>1.2999999999999999E-3</v>
      </c>
      <c r="G324" s="95">
        <v>13.455</v>
      </c>
      <c r="H324" s="96">
        <v>0.4</v>
      </c>
      <c r="I324" s="97">
        <v>0.53139999999999998</v>
      </c>
      <c r="J324" s="95">
        <v>1.4999999999999999E-2</v>
      </c>
      <c r="K324" s="96">
        <v>0.41105000000000003</v>
      </c>
      <c r="M324" s="99">
        <v>2747</v>
      </c>
      <c r="N324" s="98">
        <v>61</v>
      </c>
      <c r="O324" s="99">
        <v>2692.6</v>
      </c>
      <c r="P324" s="98">
        <v>6.1</v>
      </c>
      <c r="Q324" s="93">
        <v>-2.04</v>
      </c>
      <c r="R324" s="97">
        <v>1.3999999999999999E-4</v>
      </c>
      <c r="T324" s="118">
        <v>250</v>
      </c>
      <c r="U324" s="118">
        <v>130</v>
      </c>
      <c r="V324" s="118">
        <v>0.3</v>
      </c>
      <c r="W324" s="118">
        <v>1.2</v>
      </c>
      <c r="X324" s="118">
        <v>2.0699999999999998</v>
      </c>
      <c r="Y324" s="118">
        <v>0.81</v>
      </c>
      <c r="Z324" s="118">
        <v>1.61</v>
      </c>
      <c r="AA324" s="118">
        <v>0.55000000000000004</v>
      </c>
      <c r="AB324" s="118">
        <v>0.38</v>
      </c>
      <c r="AC324" s="118">
        <v>0.26</v>
      </c>
      <c r="AD324" s="118">
        <v>1140</v>
      </c>
      <c r="AE324" s="118">
        <v>130</v>
      </c>
      <c r="AF324" s="115">
        <v>0.20699999999999999</v>
      </c>
      <c r="AG324" s="117">
        <v>4.2000000000000003E-2</v>
      </c>
      <c r="AH324" s="116">
        <v>8.9</v>
      </c>
      <c r="AI324" s="116">
        <v>1.5</v>
      </c>
      <c r="AJ324" s="115">
        <v>0.27500000000000002</v>
      </c>
      <c r="AK324" s="115">
        <v>9.6000000000000002E-2</v>
      </c>
      <c r="AL324" s="116">
        <v>3</v>
      </c>
      <c r="AM324" s="116">
        <v>0.9</v>
      </c>
      <c r="AN324" s="116">
        <v>4.4000000000000004</v>
      </c>
      <c r="AO324" s="116">
        <v>1.2</v>
      </c>
      <c r="AP324" s="116">
        <v>1.5</v>
      </c>
      <c r="AQ324" s="116">
        <v>0.34</v>
      </c>
      <c r="AR324" s="116">
        <v>31.3</v>
      </c>
      <c r="AS324" s="113">
        <v>5.4</v>
      </c>
      <c r="AT324" s="116">
        <v>8.6999999999999993</v>
      </c>
      <c r="AU324" s="116">
        <v>1</v>
      </c>
      <c r="AV324" s="119">
        <v>106</v>
      </c>
      <c r="AW324" s="118">
        <v>14</v>
      </c>
      <c r="AX324" s="118">
        <v>35.799999999999997</v>
      </c>
      <c r="AY324" s="118">
        <v>4.2</v>
      </c>
      <c r="AZ324" s="118">
        <v>167</v>
      </c>
      <c r="BA324" s="118">
        <v>17</v>
      </c>
      <c r="BB324" s="118">
        <v>32.299999999999997</v>
      </c>
      <c r="BC324" s="118">
        <v>4.0999999999999996</v>
      </c>
      <c r="BD324" s="118">
        <v>282</v>
      </c>
      <c r="BE324" s="118">
        <v>35</v>
      </c>
      <c r="BF324" s="118">
        <v>55.9</v>
      </c>
      <c r="BG324" s="118">
        <v>6</v>
      </c>
      <c r="BH324" s="118"/>
      <c r="BI324" s="113">
        <v>51</v>
      </c>
      <c r="BJ324" s="118">
        <v>15</v>
      </c>
      <c r="BK324" s="118">
        <v>501000</v>
      </c>
      <c r="BL324" s="118">
        <v>58000</v>
      </c>
      <c r="BM324" s="118">
        <v>9600</v>
      </c>
      <c r="BN324" s="118">
        <v>1200</v>
      </c>
      <c r="BO324" s="119">
        <v>45.2</v>
      </c>
      <c r="BP324" s="118">
        <v>4.9000000000000004</v>
      </c>
      <c r="BQ324" s="119">
        <v>62.7</v>
      </c>
      <c r="BR324" s="118">
        <v>5.9</v>
      </c>
      <c r="BT324" s="95"/>
      <c r="BU324" s="96"/>
      <c r="BV324" s="96"/>
      <c r="BW324" s="96"/>
      <c r="BX324" s="99"/>
      <c r="BY324" s="96"/>
      <c r="BZ324" s="97"/>
      <c r="CA324" s="95"/>
      <c r="CB324" s="99"/>
      <c r="CC324" s="99"/>
      <c r="CD324" s="100"/>
      <c r="CE324" s="100"/>
      <c r="CF324" s="100"/>
      <c r="CG324" s="96"/>
      <c r="CH324" s="96"/>
      <c r="CJ324" s="95">
        <f t="shared" si="270"/>
        <v>0.87341772151898733</v>
      </c>
      <c r="CK324" s="93">
        <f t="shared" si="255"/>
        <v>14.542483660130721</v>
      </c>
      <c r="CL324" s="93">
        <f t="shared" si="256"/>
        <v>2.8947368421052633</v>
      </c>
      <c r="CM324" s="93">
        <f t="shared" si="257"/>
        <v>6.4239828693790146</v>
      </c>
      <c r="CN324" s="93">
        <f t="shared" si="258"/>
        <v>28.758169934640527</v>
      </c>
      <c r="CO324" s="93">
        <f t="shared" si="259"/>
        <v>25.862068965517238</v>
      </c>
      <c r="CP324" s="93">
        <f t="shared" si="260"/>
        <v>152.31143552311437</v>
      </c>
      <c r="CQ324" s="93">
        <f t="shared" si="261"/>
        <v>232.62032085561495</v>
      </c>
      <c r="CR324" s="93">
        <f t="shared" si="262"/>
        <v>417.32283464566927</v>
      </c>
      <c r="CS324" s="93">
        <f t="shared" si="263"/>
        <v>632.50883392226149</v>
      </c>
      <c r="CT324" s="93">
        <f t="shared" si="264"/>
        <v>1009.0634441087612</v>
      </c>
      <c r="CU324" s="93">
        <f t="shared" si="265"/>
        <v>1266.6666666666667</v>
      </c>
      <c r="CV324" s="93">
        <f t="shared" si="266"/>
        <v>1658.8235294117646</v>
      </c>
      <c r="CW324" s="93">
        <f t="shared" si="267"/>
        <v>2200.787401574803</v>
      </c>
    </row>
    <row r="325" spans="1:101" s="98" customFormat="1">
      <c r="A325" s="3" t="s">
        <v>533</v>
      </c>
      <c r="B325" s="3" t="s">
        <v>268</v>
      </c>
      <c r="C325" s="3"/>
      <c r="D325" s="93">
        <v>5.2630999999999997</v>
      </c>
      <c r="E325" s="94">
        <v>0.1835</v>
      </c>
      <c r="F325" s="94">
        <v>3.0000000000000001E-3</v>
      </c>
      <c r="G325" s="95">
        <v>13.09</v>
      </c>
      <c r="H325" s="96">
        <v>0.36</v>
      </c>
      <c r="I325" s="97">
        <v>0.5181</v>
      </c>
      <c r="J325" s="95">
        <v>1.2E-2</v>
      </c>
      <c r="K325" s="96">
        <v>3.5827999999999999E-2</v>
      </c>
      <c r="M325" s="99">
        <v>2691</v>
      </c>
      <c r="N325" s="98">
        <v>50</v>
      </c>
      <c r="O325" s="99">
        <v>2686</v>
      </c>
      <c r="P325" s="98">
        <v>14</v>
      </c>
      <c r="Q325" s="93">
        <v>-0.2</v>
      </c>
      <c r="R325" s="97">
        <v>1.2999999999999999E-3</v>
      </c>
      <c r="T325" s="98">
        <v>310</v>
      </c>
      <c r="U325" s="98">
        <v>380</v>
      </c>
      <c r="V325" s="98" t="s">
        <v>250</v>
      </c>
      <c r="W325" s="98" t="s">
        <v>250</v>
      </c>
      <c r="X325" s="98">
        <v>0.22</v>
      </c>
      <c r="Y325" s="98">
        <v>0.24</v>
      </c>
      <c r="Z325" s="98">
        <v>0.72</v>
      </c>
      <c r="AA325" s="98">
        <v>0.53</v>
      </c>
      <c r="AB325" s="98">
        <v>0.57999999999999996</v>
      </c>
      <c r="AC325" s="98">
        <v>0.3</v>
      </c>
      <c r="AD325" s="98">
        <v>912</v>
      </c>
      <c r="AE325" s="98">
        <v>94</v>
      </c>
      <c r="AF325" s="95">
        <v>0.01</v>
      </c>
      <c r="AG325" s="97">
        <v>0.01</v>
      </c>
      <c r="AH325" s="96">
        <v>6.4</v>
      </c>
      <c r="AI325" s="96">
        <v>1.6</v>
      </c>
      <c r="AJ325" s="95">
        <v>0.11899999999999999</v>
      </c>
      <c r="AK325" s="95">
        <v>4.2000000000000003E-2</v>
      </c>
      <c r="AL325" s="96">
        <v>3.5</v>
      </c>
      <c r="AM325" s="96">
        <v>0.68</v>
      </c>
      <c r="AN325" s="96">
        <v>5.0999999999999996</v>
      </c>
      <c r="AO325" s="96">
        <v>1.4</v>
      </c>
      <c r="AP325" s="96">
        <v>1.26</v>
      </c>
      <c r="AQ325" s="96">
        <v>0.36</v>
      </c>
      <c r="AR325" s="96">
        <v>26.2</v>
      </c>
      <c r="AS325" s="93">
        <v>3.3</v>
      </c>
      <c r="AT325" s="96">
        <v>8.32</v>
      </c>
      <c r="AU325" s="96">
        <v>0.9</v>
      </c>
      <c r="AV325" s="99">
        <v>86</v>
      </c>
      <c r="AW325" s="98">
        <v>11</v>
      </c>
      <c r="AX325" s="98">
        <v>29.2</v>
      </c>
      <c r="AY325" s="98">
        <v>2.9</v>
      </c>
      <c r="AZ325" s="98">
        <v>130</v>
      </c>
      <c r="BA325" s="98">
        <v>12</v>
      </c>
      <c r="BB325" s="98">
        <v>24.5</v>
      </c>
      <c r="BC325" s="98">
        <v>2.6</v>
      </c>
      <c r="BD325" s="98">
        <v>210</v>
      </c>
      <c r="BE325" s="98">
        <v>18</v>
      </c>
      <c r="BF325" s="98">
        <v>39.700000000000003</v>
      </c>
      <c r="BG325" s="98">
        <v>3.2</v>
      </c>
      <c r="BI325" s="93">
        <v>10.4</v>
      </c>
      <c r="BJ325" s="98">
        <v>3.6</v>
      </c>
      <c r="BK325" s="98">
        <v>475000</v>
      </c>
      <c r="BL325" s="98">
        <v>35000</v>
      </c>
      <c r="BM325" s="98">
        <v>8500</v>
      </c>
      <c r="BN325" s="98">
        <v>1000</v>
      </c>
      <c r="BO325" s="99">
        <v>25</v>
      </c>
      <c r="BP325" s="98">
        <v>1.8</v>
      </c>
      <c r="BQ325" s="99">
        <v>31.1</v>
      </c>
      <c r="BR325" s="98">
        <v>2</v>
      </c>
      <c r="BT325" s="95">
        <f t="shared" si="247"/>
        <v>0.14809523809523811</v>
      </c>
      <c r="BU325" s="96">
        <f t="shared" si="248"/>
        <v>1.8285714285714287</v>
      </c>
      <c r="BV325" s="96">
        <f t="shared" si="249"/>
        <v>55.882352941176471</v>
      </c>
      <c r="BW325" s="96">
        <f t="shared" si="250"/>
        <v>0.8038585209003215</v>
      </c>
      <c r="BX325" s="99">
        <f t="shared" si="269"/>
        <v>45.487392977691179</v>
      </c>
      <c r="BY325" s="96">
        <f t="shared" si="251"/>
        <v>1.8285714285714287</v>
      </c>
      <c r="BZ325" s="97">
        <f t="shared" si="252"/>
        <v>2.0050125313283208E-3</v>
      </c>
      <c r="CA325" s="95">
        <f t="shared" si="223"/>
        <v>0.33324101328710531</v>
      </c>
      <c r="CB325" s="99">
        <f t="shared" si="243"/>
        <v>50.896319923536936</v>
      </c>
      <c r="CC325" s="99">
        <f t="shared" si="243"/>
        <v>3.2730752362403175</v>
      </c>
      <c r="CD325" s="100">
        <f t="shared" si="253"/>
        <v>777.40168839943897</v>
      </c>
      <c r="CE325" s="100">
        <f t="shared" si="268"/>
        <v>819.51314677434823</v>
      </c>
      <c r="CF325" s="100">
        <f t="shared" si="225"/>
        <v>39.586643227370587</v>
      </c>
      <c r="CG325" s="96">
        <f t="shared" ref="CG325:CG340" si="271">2.28+3.99*LOG(AH325/((CB325*BI325)^(1/2)))</f>
        <v>6.2837252892075757E-2</v>
      </c>
      <c r="CH325" s="96">
        <f t="shared" si="246"/>
        <v>0.60111847707672061</v>
      </c>
      <c r="CJ325" s="95">
        <f t="shared" si="270"/>
        <v>4.2194092827004225E-2</v>
      </c>
      <c r="CK325" s="93">
        <f t="shared" si="255"/>
        <v>10.457516339869281</v>
      </c>
      <c r="CL325" s="93">
        <f t="shared" si="256"/>
        <v>1.2526315789473683</v>
      </c>
      <c r="CM325" s="93">
        <f t="shared" si="257"/>
        <v>7.4946466809421839</v>
      </c>
      <c r="CN325" s="93">
        <f t="shared" si="258"/>
        <v>33.333333333333329</v>
      </c>
      <c r="CO325" s="93">
        <f t="shared" si="259"/>
        <v>21.72413793103448</v>
      </c>
      <c r="CP325" s="93">
        <f t="shared" si="260"/>
        <v>127.49391727493918</v>
      </c>
      <c r="CQ325" s="93">
        <f t="shared" si="261"/>
        <v>222.45989304812832</v>
      </c>
      <c r="CR325" s="93">
        <f t="shared" si="262"/>
        <v>338.58267716535431</v>
      </c>
      <c r="CS325" s="93">
        <f t="shared" si="263"/>
        <v>515.90106007067141</v>
      </c>
      <c r="CT325" s="93">
        <f t="shared" si="264"/>
        <v>785.4984894259818</v>
      </c>
      <c r="CU325" s="93">
        <f t="shared" si="265"/>
        <v>960.78431372549028</v>
      </c>
      <c r="CV325" s="93">
        <f t="shared" si="266"/>
        <v>1235.2941176470588</v>
      </c>
      <c r="CW325" s="93">
        <f t="shared" si="267"/>
        <v>1562.9921259842522</v>
      </c>
    </row>
    <row r="326" spans="1:101" s="98" customFormat="1">
      <c r="A326" s="3" t="s">
        <v>534</v>
      </c>
      <c r="B326" s="3" t="s">
        <v>268</v>
      </c>
      <c r="C326" s="3"/>
      <c r="D326" s="93">
        <v>5.9865000000000004</v>
      </c>
      <c r="E326" s="94">
        <v>0.18690000000000001</v>
      </c>
      <c r="F326" s="94">
        <v>1.9E-3</v>
      </c>
      <c r="G326" s="95">
        <v>13.73</v>
      </c>
      <c r="H326" s="96">
        <v>0.36</v>
      </c>
      <c r="I326" s="97">
        <v>0.53339999999999999</v>
      </c>
      <c r="J326" s="95">
        <v>1.2E-2</v>
      </c>
      <c r="K326" s="96">
        <v>0.52700000000000002</v>
      </c>
      <c r="M326" s="99">
        <v>2756</v>
      </c>
      <c r="N326" s="98">
        <v>51</v>
      </c>
      <c r="O326" s="99">
        <v>2714</v>
      </c>
      <c r="P326" s="98">
        <v>10</v>
      </c>
      <c r="Q326" s="93">
        <v>-1.53</v>
      </c>
      <c r="R326" s="97">
        <v>5.1000000000000004E-4</v>
      </c>
      <c r="T326" s="98">
        <v>400</v>
      </c>
      <c r="U326" s="98">
        <v>190</v>
      </c>
      <c r="V326" s="98" t="s">
        <v>250</v>
      </c>
      <c r="W326" s="98" t="s">
        <v>250</v>
      </c>
      <c r="X326" s="98">
        <v>0.36</v>
      </c>
      <c r="Y326" s="98">
        <v>0.28000000000000003</v>
      </c>
      <c r="Z326" s="98">
        <v>1.43</v>
      </c>
      <c r="AA326" s="98">
        <v>0.42</v>
      </c>
      <c r="AB326" s="98">
        <v>0.66</v>
      </c>
      <c r="AC326" s="98">
        <v>0.23</v>
      </c>
      <c r="AD326" s="98">
        <v>628</v>
      </c>
      <c r="AE326" s="98">
        <v>69</v>
      </c>
      <c r="AF326" s="95" t="s">
        <v>250</v>
      </c>
      <c r="AG326" s="97" t="s">
        <v>250</v>
      </c>
      <c r="AH326" s="96">
        <v>6.94</v>
      </c>
      <c r="AI326" s="96">
        <v>0.94</v>
      </c>
      <c r="AJ326" s="95">
        <v>6.9000000000000006E-2</v>
      </c>
      <c r="AK326" s="95">
        <v>3.5000000000000003E-2</v>
      </c>
      <c r="AL326" s="96">
        <v>0.76</v>
      </c>
      <c r="AM326" s="96">
        <v>0.42</v>
      </c>
      <c r="AN326" s="96">
        <v>2.63</v>
      </c>
      <c r="AO326" s="96">
        <v>0.96</v>
      </c>
      <c r="AP326" s="96">
        <v>0.67</v>
      </c>
      <c r="AQ326" s="96">
        <v>0.2</v>
      </c>
      <c r="AR326" s="96">
        <v>14.2</v>
      </c>
      <c r="AS326" s="93">
        <v>3.7</v>
      </c>
      <c r="AT326" s="96">
        <v>4.9400000000000004</v>
      </c>
      <c r="AU326" s="96">
        <v>0.72</v>
      </c>
      <c r="AV326" s="99">
        <v>56.1</v>
      </c>
      <c r="AW326" s="98">
        <v>6.4</v>
      </c>
      <c r="AX326" s="98">
        <v>19.7</v>
      </c>
      <c r="AY326" s="98">
        <v>1.7</v>
      </c>
      <c r="AZ326" s="98">
        <v>95</v>
      </c>
      <c r="BA326" s="98">
        <v>12</v>
      </c>
      <c r="BB326" s="98">
        <v>19.5</v>
      </c>
      <c r="BC326" s="98">
        <v>2</v>
      </c>
      <c r="BD326" s="98">
        <v>174</v>
      </c>
      <c r="BE326" s="98">
        <v>16</v>
      </c>
      <c r="BF326" s="98">
        <v>35.299999999999997</v>
      </c>
      <c r="BG326" s="98">
        <v>2.6</v>
      </c>
      <c r="BI326" s="93">
        <v>8.6</v>
      </c>
      <c r="BJ326" s="98">
        <v>2.6</v>
      </c>
      <c r="BK326" s="98">
        <v>524000</v>
      </c>
      <c r="BL326" s="98">
        <v>46000</v>
      </c>
      <c r="BM326" s="98">
        <v>9200</v>
      </c>
      <c r="BN326" s="98">
        <v>600</v>
      </c>
      <c r="BO326" s="99">
        <v>18</v>
      </c>
      <c r="BP326" s="98">
        <v>1.2</v>
      </c>
      <c r="BQ326" s="99">
        <v>31.4</v>
      </c>
      <c r="BR326" s="98">
        <v>2.1</v>
      </c>
      <c r="BT326" s="95">
        <f t="shared" si="247"/>
        <v>0.18045977011494252</v>
      </c>
      <c r="BU326" s="96">
        <f t="shared" si="248"/>
        <v>9.1315789473684212</v>
      </c>
      <c r="BV326" s="96">
        <f t="shared" si="249"/>
        <v>56.956521739130437</v>
      </c>
      <c r="BW326" s="96">
        <f t="shared" si="250"/>
        <v>0.57324840764331209</v>
      </c>
      <c r="BX326" s="99"/>
      <c r="BY326" s="96">
        <f t="shared" si="251"/>
        <v>9.1315789473684212</v>
      </c>
      <c r="BZ326" s="97">
        <f t="shared" si="252"/>
        <v>1.4540730807911498E-2</v>
      </c>
      <c r="CA326" s="95">
        <f t="shared" si="223"/>
        <v>0.33517868380025828</v>
      </c>
      <c r="CB326" s="99">
        <f t="shared" si="243"/>
        <v>51.387281208972979</v>
      </c>
      <c r="CC326" s="99">
        <f t="shared" si="243"/>
        <v>3.4367289980523337</v>
      </c>
      <c r="CD326" s="100">
        <f t="shared" si="253"/>
        <v>758.76125087340654</v>
      </c>
      <c r="CE326" s="100">
        <f t="shared" si="268"/>
        <v>799.36268230792496</v>
      </c>
      <c r="CF326" s="100">
        <f t="shared" si="225"/>
        <v>33.909155624899853</v>
      </c>
      <c r="CG326" s="96">
        <f t="shared" si="271"/>
        <v>0.35954287368386328</v>
      </c>
      <c r="CH326" s="96">
        <f t="shared" si="246"/>
        <v>0.40832104965014737</v>
      </c>
      <c r="CJ326" s="95"/>
      <c r="CK326" s="93">
        <f t="shared" si="255"/>
        <v>11.339869281045752</v>
      </c>
      <c r="CL326" s="93">
        <f t="shared" si="256"/>
        <v>0.72631578947368425</v>
      </c>
      <c r="CM326" s="93">
        <f t="shared" si="257"/>
        <v>1.627408993576017</v>
      </c>
      <c r="CN326" s="93">
        <f t="shared" si="258"/>
        <v>17.18954248366013</v>
      </c>
      <c r="CO326" s="93">
        <f t="shared" si="259"/>
        <v>11.551724137931034</v>
      </c>
      <c r="CP326" s="93">
        <f t="shared" si="260"/>
        <v>69.099756690997566</v>
      </c>
      <c r="CQ326" s="93">
        <f t="shared" si="261"/>
        <v>132.08556149732621</v>
      </c>
      <c r="CR326" s="93">
        <f t="shared" si="262"/>
        <v>220.86614173228347</v>
      </c>
      <c r="CS326" s="93">
        <f t="shared" si="263"/>
        <v>348.0565371024735</v>
      </c>
      <c r="CT326" s="93">
        <f t="shared" si="264"/>
        <v>574.01812688821747</v>
      </c>
      <c r="CU326" s="93">
        <f t="shared" si="265"/>
        <v>764.70588235294122</v>
      </c>
      <c r="CV326" s="93">
        <f t="shared" si="266"/>
        <v>1023.5294117647059</v>
      </c>
      <c r="CW326" s="93">
        <f t="shared" si="267"/>
        <v>1389.7637795275591</v>
      </c>
    </row>
    <row r="327" spans="1:101" s="98" customFormat="1">
      <c r="A327" s="3" t="s">
        <v>535</v>
      </c>
      <c r="B327" s="3" t="s">
        <v>268</v>
      </c>
      <c r="C327" s="3"/>
      <c r="D327" s="93">
        <v>3.2490999999999999</v>
      </c>
      <c r="E327" s="94">
        <v>0.1855</v>
      </c>
      <c r="F327" s="94">
        <v>5.4999999999999997E-3</v>
      </c>
      <c r="G327" s="95">
        <v>13.53</v>
      </c>
      <c r="H327" s="96">
        <v>0.47</v>
      </c>
      <c r="I327" s="97">
        <v>0.53029999999999999</v>
      </c>
      <c r="J327" s="95">
        <v>1.2999999999999999E-2</v>
      </c>
      <c r="K327" s="96">
        <v>-0.12715000000000001</v>
      </c>
      <c r="M327" s="99">
        <v>2743</v>
      </c>
      <c r="N327" s="98">
        <v>54</v>
      </c>
      <c r="O327" s="99">
        <v>2704</v>
      </c>
      <c r="P327" s="98">
        <v>21</v>
      </c>
      <c r="Q327" s="93">
        <v>-1.5</v>
      </c>
      <c r="R327" s="97">
        <v>2E-3</v>
      </c>
      <c r="T327" s="98">
        <v>730</v>
      </c>
      <c r="U327" s="98">
        <v>300</v>
      </c>
      <c r="V327" s="98">
        <v>0.6</v>
      </c>
      <c r="W327" s="98">
        <v>2.5</v>
      </c>
      <c r="X327" s="98" t="s">
        <v>250</v>
      </c>
      <c r="Y327" s="98" t="s">
        <v>250</v>
      </c>
      <c r="Z327" s="98">
        <v>1.04</v>
      </c>
      <c r="AA327" s="98">
        <v>0.54</v>
      </c>
      <c r="AB327" s="98">
        <v>0.48</v>
      </c>
      <c r="AC327" s="98">
        <v>0.64</v>
      </c>
      <c r="AD327" s="98">
        <v>534</v>
      </c>
      <c r="AE327" s="98">
        <v>37</v>
      </c>
      <c r="AF327" s="95" t="s">
        <v>250</v>
      </c>
      <c r="AG327" s="97" t="s">
        <v>250</v>
      </c>
      <c r="AH327" s="96">
        <v>5.7</v>
      </c>
      <c r="AI327" s="96">
        <v>1.5</v>
      </c>
      <c r="AJ327" s="95">
        <v>4.8000000000000001E-2</v>
      </c>
      <c r="AK327" s="95">
        <v>3.6999999999999998E-2</v>
      </c>
      <c r="AL327" s="96">
        <v>0.63</v>
      </c>
      <c r="AM327" s="96">
        <v>0.68</v>
      </c>
      <c r="AN327" s="96">
        <v>2.7</v>
      </c>
      <c r="AO327" s="96">
        <v>1.7</v>
      </c>
      <c r="AP327" s="96">
        <v>0.7</v>
      </c>
      <c r="AQ327" s="96">
        <v>0.48</v>
      </c>
      <c r="AR327" s="96">
        <v>12.7</v>
      </c>
      <c r="AS327" s="93">
        <v>4.2</v>
      </c>
      <c r="AT327" s="96">
        <v>3.72</v>
      </c>
      <c r="AU327" s="96">
        <v>0.62</v>
      </c>
      <c r="AV327" s="99">
        <v>42.7</v>
      </c>
      <c r="AW327" s="98">
        <v>7.4</v>
      </c>
      <c r="AX327" s="98">
        <v>17.399999999999999</v>
      </c>
      <c r="AY327" s="98">
        <v>2.5</v>
      </c>
      <c r="AZ327" s="98">
        <v>76.599999999999994</v>
      </c>
      <c r="BA327" s="98">
        <v>9</v>
      </c>
      <c r="BB327" s="98">
        <v>16.899999999999999</v>
      </c>
      <c r="BC327" s="98">
        <v>4.5999999999999996</v>
      </c>
      <c r="BD327" s="98">
        <v>135</v>
      </c>
      <c r="BE327" s="98">
        <v>12</v>
      </c>
      <c r="BF327" s="98">
        <v>27.5</v>
      </c>
      <c r="BG327" s="98">
        <v>2.2999999999999998</v>
      </c>
      <c r="BI327" s="93">
        <v>7.3</v>
      </c>
      <c r="BJ327" s="98">
        <v>5.0999999999999996</v>
      </c>
      <c r="BK327" s="98">
        <v>509000</v>
      </c>
      <c r="BL327" s="98">
        <v>60000</v>
      </c>
      <c r="BM327" s="98">
        <v>9630</v>
      </c>
      <c r="BN327" s="98">
        <v>860</v>
      </c>
      <c r="BO327" s="99">
        <v>12.85</v>
      </c>
      <c r="BP327" s="98">
        <v>0.93</v>
      </c>
      <c r="BQ327" s="99">
        <v>21.2</v>
      </c>
      <c r="BR327" s="98">
        <v>1.6</v>
      </c>
      <c r="BT327" s="95">
        <f t="shared" si="247"/>
        <v>0.15703703703703703</v>
      </c>
      <c r="BU327" s="96">
        <f t="shared" si="248"/>
        <v>9.0476190476190474</v>
      </c>
      <c r="BV327" s="96">
        <f t="shared" si="249"/>
        <v>52.855659397715471</v>
      </c>
      <c r="BW327" s="96">
        <f t="shared" si="250"/>
        <v>0.60613207547169812</v>
      </c>
      <c r="BX327" s="99"/>
      <c r="BY327" s="96">
        <f t="shared" si="251"/>
        <v>9.0476190476190474</v>
      </c>
      <c r="BZ327" s="97">
        <f t="shared" si="252"/>
        <v>1.6943106830747279E-2</v>
      </c>
      <c r="CA327" s="95">
        <f t="shared" si="223"/>
        <v>0.3654583864419238</v>
      </c>
      <c r="CB327" s="99">
        <f t="shared" si="243"/>
        <v>34.694597504147367</v>
      </c>
      <c r="CC327" s="99">
        <f t="shared" si="243"/>
        <v>2.6184601889922541</v>
      </c>
      <c r="CD327" s="100">
        <f t="shared" si="253"/>
        <v>743.20949106883404</v>
      </c>
      <c r="CE327" s="100">
        <f t="shared" si="268"/>
        <v>782.5730081306757</v>
      </c>
      <c r="CF327" s="100">
        <f t="shared" si="225"/>
        <v>72.273836601152993</v>
      </c>
      <c r="CG327" s="96">
        <f t="shared" si="271"/>
        <v>0.50078917034604564</v>
      </c>
      <c r="CH327" s="96">
        <f t="shared" si="246"/>
        <v>0.88004550063818976</v>
      </c>
      <c r="CJ327" s="95"/>
      <c r="CK327" s="93">
        <f t="shared" si="255"/>
        <v>9.3137254901960791</v>
      </c>
      <c r="CL327" s="93">
        <f t="shared" si="256"/>
        <v>0.50526315789473686</v>
      </c>
      <c r="CM327" s="93">
        <f t="shared" si="257"/>
        <v>1.3490364025695931</v>
      </c>
      <c r="CN327" s="93">
        <f t="shared" si="258"/>
        <v>17.647058823529413</v>
      </c>
      <c r="CO327" s="93">
        <f t="shared" si="259"/>
        <v>12.068965517241377</v>
      </c>
      <c r="CP327" s="93">
        <f t="shared" si="260"/>
        <v>61.800486618004868</v>
      </c>
      <c r="CQ327" s="93">
        <f t="shared" si="261"/>
        <v>99.465240641711233</v>
      </c>
      <c r="CR327" s="93">
        <f t="shared" si="262"/>
        <v>168.11023622047244</v>
      </c>
      <c r="CS327" s="93">
        <f t="shared" si="263"/>
        <v>307.42049469964661</v>
      </c>
      <c r="CT327" s="93">
        <f t="shared" si="264"/>
        <v>462.83987915407852</v>
      </c>
      <c r="CU327" s="93">
        <f t="shared" si="265"/>
        <v>662.74509803921569</v>
      </c>
      <c r="CV327" s="93">
        <f t="shared" si="266"/>
        <v>794.11764705882342</v>
      </c>
      <c r="CW327" s="93">
        <f t="shared" si="267"/>
        <v>1082.6771653543308</v>
      </c>
    </row>
    <row r="328" spans="1:101" s="98" customFormat="1">
      <c r="A328" s="3" t="s">
        <v>536</v>
      </c>
      <c r="B328" s="3" t="s">
        <v>268</v>
      </c>
      <c r="C328" s="3"/>
      <c r="D328" s="93">
        <v>4.2872000000000003</v>
      </c>
      <c r="E328" s="94">
        <v>0.1903</v>
      </c>
      <c r="F328" s="94">
        <v>4.5999999999999999E-3</v>
      </c>
      <c r="G328" s="95">
        <v>14.23</v>
      </c>
      <c r="H328" s="96">
        <v>0.47</v>
      </c>
      <c r="I328" s="97">
        <v>0.54349999999999998</v>
      </c>
      <c r="J328" s="95">
        <v>1.2999999999999999E-2</v>
      </c>
      <c r="K328" s="96">
        <v>0.19255</v>
      </c>
      <c r="M328" s="99">
        <v>2798</v>
      </c>
      <c r="N328" s="98">
        <v>53</v>
      </c>
      <c r="O328" s="99">
        <v>2743</v>
      </c>
      <c r="P328" s="98">
        <v>26</v>
      </c>
      <c r="Q328" s="93">
        <v>-2</v>
      </c>
      <c r="R328" s="97">
        <v>8.9999999999999998E-4</v>
      </c>
      <c r="T328" s="98">
        <v>330</v>
      </c>
      <c r="U328" s="98">
        <v>270</v>
      </c>
      <c r="V328" s="98">
        <v>0.3</v>
      </c>
      <c r="W328" s="98">
        <v>1</v>
      </c>
      <c r="X328" s="98">
        <v>0.17</v>
      </c>
      <c r="Y328" s="98">
        <v>0.23</v>
      </c>
      <c r="Z328" s="98">
        <v>1.38</v>
      </c>
      <c r="AA328" s="98">
        <v>0.55000000000000004</v>
      </c>
      <c r="AB328" s="98">
        <v>0.25</v>
      </c>
      <c r="AC328" s="98">
        <v>0.28000000000000003</v>
      </c>
      <c r="AD328" s="98">
        <v>462</v>
      </c>
      <c r="AE328" s="98">
        <v>61</v>
      </c>
      <c r="AF328" s="95" t="s">
        <v>250</v>
      </c>
      <c r="AG328" s="97" t="s">
        <v>250</v>
      </c>
      <c r="AH328" s="96">
        <v>4.82</v>
      </c>
      <c r="AI328" s="96">
        <v>0.92</v>
      </c>
      <c r="AJ328" s="95">
        <v>2.1999999999999999E-2</v>
      </c>
      <c r="AK328" s="95">
        <v>1.7999999999999999E-2</v>
      </c>
      <c r="AL328" s="96">
        <v>0.44</v>
      </c>
      <c r="AM328" s="96">
        <v>0.42</v>
      </c>
      <c r="AN328" s="96">
        <v>1.92</v>
      </c>
      <c r="AO328" s="96">
        <v>0.69</v>
      </c>
      <c r="AP328" s="96">
        <v>0.47</v>
      </c>
      <c r="AQ328" s="96">
        <v>0.28999999999999998</v>
      </c>
      <c r="AR328" s="96">
        <v>11.5</v>
      </c>
      <c r="AS328" s="93">
        <v>2.8</v>
      </c>
      <c r="AT328" s="96">
        <v>3.67</v>
      </c>
      <c r="AU328" s="96">
        <v>0.85</v>
      </c>
      <c r="AV328" s="99">
        <v>43.6</v>
      </c>
      <c r="AW328" s="98">
        <v>8.6999999999999993</v>
      </c>
      <c r="AX328" s="98">
        <v>15</v>
      </c>
      <c r="AY328" s="98">
        <v>2</v>
      </c>
      <c r="AZ328" s="98">
        <v>68.900000000000006</v>
      </c>
      <c r="BA328" s="98">
        <v>9.3000000000000007</v>
      </c>
      <c r="BB328" s="98">
        <v>13.9</v>
      </c>
      <c r="BC328" s="98">
        <v>2.7</v>
      </c>
      <c r="BD328" s="98">
        <v>116</v>
      </c>
      <c r="BE328" s="98">
        <v>21</v>
      </c>
      <c r="BF328" s="98">
        <v>23.9</v>
      </c>
      <c r="BG328" s="98">
        <v>4.9000000000000004</v>
      </c>
      <c r="BI328" s="93">
        <v>8.1999999999999993</v>
      </c>
      <c r="BJ328" s="98">
        <v>3</v>
      </c>
      <c r="BK328" s="98">
        <v>467000</v>
      </c>
      <c r="BL328" s="98">
        <v>67000</v>
      </c>
      <c r="BM328" s="98">
        <v>9000</v>
      </c>
      <c r="BN328" s="98">
        <v>1400</v>
      </c>
      <c r="BO328" s="99">
        <v>11.15</v>
      </c>
      <c r="BP328" s="98">
        <v>0.99</v>
      </c>
      <c r="BQ328" s="99">
        <v>18.899999999999999</v>
      </c>
      <c r="BR328" s="98">
        <v>1.7</v>
      </c>
      <c r="BT328" s="95">
        <f t="shared" si="247"/>
        <v>0.16293103448275861</v>
      </c>
      <c r="BU328" s="96">
        <f t="shared" si="248"/>
        <v>10.954545454545455</v>
      </c>
      <c r="BV328" s="96">
        <f t="shared" si="249"/>
        <v>51.888888888888886</v>
      </c>
      <c r="BW328" s="96">
        <f t="shared" si="250"/>
        <v>0.58994708994709</v>
      </c>
      <c r="BX328" s="99"/>
      <c r="BY328" s="96">
        <f t="shared" si="251"/>
        <v>10.954545454545455</v>
      </c>
      <c r="BZ328" s="97">
        <f t="shared" si="252"/>
        <v>2.3711137347500987E-2</v>
      </c>
      <c r="CA328" s="95">
        <f t="shared" si="223"/>
        <v>0.30578907017633278</v>
      </c>
      <c r="CB328" s="99">
        <f t="shared" si="243"/>
        <v>30.930560982470997</v>
      </c>
      <c r="CC328" s="99">
        <f t="shared" si="243"/>
        <v>2.7821139508042698</v>
      </c>
      <c r="CD328" s="100">
        <f t="shared" si="253"/>
        <v>754.19285617902563</v>
      </c>
      <c r="CE328" s="100">
        <f t="shared" si="268"/>
        <v>794.4285799645246</v>
      </c>
      <c r="CF328" s="100">
        <f t="shared" si="225"/>
        <v>39.906040884180996</v>
      </c>
      <c r="CG328" s="96">
        <f t="shared" si="271"/>
        <v>0.20897539244784724</v>
      </c>
      <c r="CH328" s="96">
        <f t="shared" si="246"/>
        <v>0.53970620650440315</v>
      </c>
      <c r="CJ328" s="95"/>
      <c r="CK328" s="93">
        <f t="shared" si="255"/>
        <v>7.8758169934640527</v>
      </c>
      <c r="CL328" s="93">
        <f t="shared" si="256"/>
        <v>0.23157894736842102</v>
      </c>
      <c r="CM328" s="93">
        <f t="shared" si="257"/>
        <v>0.94218415417558876</v>
      </c>
      <c r="CN328" s="93">
        <f t="shared" si="258"/>
        <v>12.549019607843137</v>
      </c>
      <c r="CO328" s="93">
        <f t="shared" si="259"/>
        <v>8.1034482758620676</v>
      </c>
      <c r="CP328" s="93">
        <f t="shared" si="260"/>
        <v>55.961070559610711</v>
      </c>
      <c r="CQ328" s="93">
        <f t="shared" si="261"/>
        <v>98.128342245989302</v>
      </c>
      <c r="CR328" s="93">
        <f t="shared" si="262"/>
        <v>171.65354330708661</v>
      </c>
      <c r="CS328" s="93">
        <f t="shared" si="263"/>
        <v>265.01766784452298</v>
      </c>
      <c r="CT328" s="93">
        <f t="shared" si="264"/>
        <v>416.3141993957704</v>
      </c>
      <c r="CU328" s="93">
        <f t="shared" si="265"/>
        <v>545.0980392156863</v>
      </c>
      <c r="CV328" s="93">
        <f t="shared" si="266"/>
        <v>682.35294117647049</v>
      </c>
      <c r="CW328" s="93">
        <f t="shared" si="267"/>
        <v>940.94488188976379</v>
      </c>
    </row>
    <row r="329" spans="1:101" s="98" customFormat="1">
      <c r="A329" s="3" t="s">
        <v>537</v>
      </c>
      <c r="B329" s="3" t="s">
        <v>268</v>
      </c>
      <c r="C329" s="3"/>
      <c r="D329" s="93">
        <v>5.8935000000000004</v>
      </c>
      <c r="E329" s="94">
        <v>0.18379999999999999</v>
      </c>
      <c r="F329" s="94">
        <v>1.6999999999999999E-3</v>
      </c>
      <c r="G329" s="95">
        <v>13.06</v>
      </c>
      <c r="H329" s="96">
        <v>0.34</v>
      </c>
      <c r="I329" s="97">
        <v>0.51619999999999999</v>
      </c>
      <c r="J329" s="95">
        <v>1.2E-2</v>
      </c>
      <c r="K329" s="96">
        <v>0.57640999999999998</v>
      </c>
      <c r="M329" s="99">
        <v>2683</v>
      </c>
      <c r="N329" s="98">
        <v>50</v>
      </c>
      <c r="O329" s="99">
        <v>2688.5</v>
      </c>
      <c r="P329" s="98">
        <v>8.3000000000000007</v>
      </c>
      <c r="Q329" s="93">
        <v>0.2</v>
      </c>
      <c r="R329" s="97">
        <v>2.7000000000000001E-3</v>
      </c>
      <c r="T329" s="98">
        <v>320</v>
      </c>
      <c r="U329" s="98">
        <v>200</v>
      </c>
      <c r="V329" s="98">
        <v>1.7</v>
      </c>
      <c r="W329" s="98">
        <v>1.5</v>
      </c>
      <c r="X329" s="98" t="s">
        <v>250</v>
      </c>
      <c r="Y329" s="98" t="s">
        <v>250</v>
      </c>
      <c r="Z329" s="98">
        <v>1.52</v>
      </c>
      <c r="AA329" s="98">
        <v>0.79</v>
      </c>
      <c r="AB329" s="98">
        <v>0.95</v>
      </c>
      <c r="AC329" s="98">
        <v>0.28999999999999998</v>
      </c>
      <c r="AD329" s="98">
        <v>1051</v>
      </c>
      <c r="AE329" s="98">
        <v>91</v>
      </c>
      <c r="AF329" s="95">
        <v>1.7000000000000001E-2</v>
      </c>
      <c r="AG329" s="97">
        <v>1.6E-2</v>
      </c>
      <c r="AH329" s="96">
        <v>7.5</v>
      </c>
      <c r="AI329" s="96">
        <v>1.1000000000000001</v>
      </c>
      <c r="AJ329" s="95">
        <v>0.214</v>
      </c>
      <c r="AK329" s="95">
        <v>0.05</v>
      </c>
      <c r="AL329" s="96">
        <v>3.92</v>
      </c>
      <c r="AM329" s="96">
        <v>0.98</v>
      </c>
      <c r="AN329" s="96">
        <v>6.8</v>
      </c>
      <c r="AO329" s="96">
        <v>1.3</v>
      </c>
      <c r="AP329" s="96">
        <v>1.46</v>
      </c>
      <c r="AQ329" s="96">
        <v>0.39</v>
      </c>
      <c r="AR329" s="96">
        <v>37.9</v>
      </c>
      <c r="AS329" s="93">
        <v>6.5</v>
      </c>
      <c r="AT329" s="96">
        <v>9.5</v>
      </c>
      <c r="AU329" s="96">
        <v>1.7</v>
      </c>
      <c r="AV329" s="99">
        <v>109</v>
      </c>
      <c r="AW329" s="98">
        <v>14</v>
      </c>
      <c r="AX329" s="98">
        <v>39.9</v>
      </c>
      <c r="AY329" s="98">
        <v>4.2</v>
      </c>
      <c r="AZ329" s="98">
        <v>161</v>
      </c>
      <c r="BA329" s="98">
        <v>19</v>
      </c>
      <c r="BB329" s="98">
        <v>30.8</v>
      </c>
      <c r="BC329" s="98">
        <v>3.6</v>
      </c>
      <c r="BD329" s="98">
        <v>246</v>
      </c>
      <c r="BE329" s="98">
        <v>43</v>
      </c>
      <c r="BF329" s="98">
        <v>52.2</v>
      </c>
      <c r="BG329" s="98">
        <v>6.9</v>
      </c>
      <c r="BI329" s="93">
        <v>10.5</v>
      </c>
      <c r="BJ329" s="98">
        <v>3</v>
      </c>
      <c r="BK329" s="98">
        <v>487000</v>
      </c>
      <c r="BL329" s="98">
        <v>38000</v>
      </c>
      <c r="BM329" s="98">
        <v>9540</v>
      </c>
      <c r="BN329" s="98">
        <v>820</v>
      </c>
      <c r="BO329" s="99">
        <v>32.1</v>
      </c>
      <c r="BP329" s="98">
        <v>2.7</v>
      </c>
      <c r="BQ329" s="99">
        <v>40.6</v>
      </c>
      <c r="BR329" s="98">
        <v>3.3</v>
      </c>
      <c r="BT329" s="95">
        <f t="shared" si="247"/>
        <v>0.16504065040650406</v>
      </c>
      <c r="BU329" s="96">
        <f t="shared" si="248"/>
        <v>1.9132653061224489</v>
      </c>
      <c r="BV329" s="96">
        <f t="shared" si="249"/>
        <v>51.048218029350103</v>
      </c>
      <c r="BW329" s="96">
        <f t="shared" si="250"/>
        <v>0.79064039408866993</v>
      </c>
      <c r="BX329" s="99">
        <f t="shared" ref="BX329:BX337" si="272">CK329/SQRT(CJ329*CL329)</f>
        <v>30.486984469844604</v>
      </c>
      <c r="BY329" s="96">
        <f t="shared" si="251"/>
        <v>1.9132653061224489</v>
      </c>
      <c r="BZ329" s="97">
        <f t="shared" si="252"/>
        <v>1.8204236975475252E-3</v>
      </c>
      <c r="CA329" s="95">
        <f t="shared" si="223"/>
        <v>0.27803689471448262</v>
      </c>
      <c r="CB329" s="99">
        <f t="shared" si="243"/>
        <v>66.443427295678447</v>
      </c>
      <c r="CC329" s="99">
        <f t="shared" si="243"/>
        <v>5.4005741397965235</v>
      </c>
      <c r="CD329" s="100">
        <f t="shared" si="253"/>
        <v>778.35813374744305</v>
      </c>
      <c r="CE329" s="100">
        <f t="shared" si="268"/>
        <v>820.54784510775369</v>
      </c>
      <c r="CF329" s="100">
        <f t="shared" si="225"/>
        <v>33.433371903320136</v>
      </c>
      <c r="CG329" s="96">
        <f t="shared" si="271"/>
        <v>9.842999700782773E-2</v>
      </c>
      <c r="CH329" s="96">
        <f t="shared" si="246"/>
        <v>0.41299578921496805</v>
      </c>
      <c r="CJ329" s="95">
        <f t="shared" ref="CJ329:CJ337" si="273">AF329/CJ$4</f>
        <v>7.1729957805907185E-2</v>
      </c>
      <c r="CK329" s="93">
        <f t="shared" si="255"/>
        <v>12.254901960784315</v>
      </c>
      <c r="CL329" s="93">
        <f t="shared" si="256"/>
        <v>2.2526315789473683</v>
      </c>
      <c r="CM329" s="93">
        <f t="shared" si="257"/>
        <v>8.3940042826552457</v>
      </c>
      <c r="CN329" s="93">
        <f t="shared" si="258"/>
        <v>44.444444444444443</v>
      </c>
      <c r="CO329" s="93">
        <f t="shared" si="259"/>
        <v>25.172413793103445</v>
      </c>
      <c r="CP329" s="93">
        <f t="shared" si="260"/>
        <v>184.42822384428223</v>
      </c>
      <c r="CQ329" s="93">
        <f t="shared" si="261"/>
        <v>254.01069518716577</v>
      </c>
      <c r="CR329" s="93">
        <f t="shared" si="262"/>
        <v>429.1338582677165</v>
      </c>
      <c r="CS329" s="93">
        <f t="shared" si="263"/>
        <v>704.94699646643107</v>
      </c>
      <c r="CT329" s="93">
        <f t="shared" si="264"/>
        <v>972.80966767371592</v>
      </c>
      <c r="CU329" s="93">
        <f t="shared" si="265"/>
        <v>1207.8431372549021</v>
      </c>
      <c r="CV329" s="93">
        <f t="shared" si="266"/>
        <v>1447.0588235294117</v>
      </c>
      <c r="CW329" s="93">
        <f t="shared" si="267"/>
        <v>2055.1181102362207</v>
      </c>
    </row>
    <row r="330" spans="1:101" s="98" customFormat="1">
      <c r="A330" s="3" t="s">
        <v>538</v>
      </c>
      <c r="B330" s="3" t="s">
        <v>268</v>
      </c>
      <c r="C330" s="3"/>
      <c r="D330" s="93">
        <v>5.7018000000000004</v>
      </c>
      <c r="E330" s="94">
        <v>0.18360000000000001</v>
      </c>
      <c r="F330" s="94">
        <v>2.0999999999999999E-3</v>
      </c>
      <c r="G330" s="95">
        <v>13.12</v>
      </c>
      <c r="H330" s="96">
        <v>0.34</v>
      </c>
      <c r="I330" s="97">
        <v>0.51910000000000001</v>
      </c>
      <c r="J330" s="95">
        <v>1.2E-2</v>
      </c>
      <c r="K330" s="96">
        <v>0.22775000000000001</v>
      </c>
      <c r="M330" s="99">
        <v>2695</v>
      </c>
      <c r="N330" s="98">
        <v>50</v>
      </c>
      <c r="O330" s="99">
        <v>2687.3</v>
      </c>
      <c r="P330" s="98">
        <v>7.7</v>
      </c>
      <c r="Q330" s="93">
        <v>-0.3</v>
      </c>
      <c r="R330" s="97">
        <v>1.4E-3</v>
      </c>
      <c r="T330" s="98">
        <v>570</v>
      </c>
      <c r="U330" s="98">
        <v>160</v>
      </c>
      <c r="V330" s="98">
        <v>0.7</v>
      </c>
      <c r="W330" s="98">
        <v>1.1000000000000001</v>
      </c>
      <c r="X330" s="98">
        <v>0.2</v>
      </c>
      <c r="Y330" s="98">
        <v>0.17</v>
      </c>
      <c r="Z330" s="98">
        <v>1.68</v>
      </c>
      <c r="AA330" s="98">
        <v>0.9</v>
      </c>
      <c r="AB330" s="98">
        <v>0.52</v>
      </c>
      <c r="AC330" s="98">
        <v>0.31</v>
      </c>
      <c r="AD330" s="98">
        <v>1060</v>
      </c>
      <c r="AE330" s="98">
        <v>150</v>
      </c>
      <c r="AF330" s="95">
        <v>1.2999999999999999E-2</v>
      </c>
      <c r="AG330" s="97">
        <v>1.7000000000000001E-2</v>
      </c>
      <c r="AH330" s="96">
        <v>8.1</v>
      </c>
      <c r="AI330" s="96">
        <v>1.5</v>
      </c>
      <c r="AJ330" s="95">
        <v>0.214</v>
      </c>
      <c r="AK330" s="95">
        <v>7.2999999999999995E-2</v>
      </c>
      <c r="AL330" s="96">
        <v>3.5</v>
      </c>
      <c r="AM330" s="96">
        <v>1.1000000000000001</v>
      </c>
      <c r="AN330" s="96">
        <v>7.3</v>
      </c>
      <c r="AO330" s="96">
        <v>1.5</v>
      </c>
      <c r="AP330" s="96">
        <v>1.1000000000000001</v>
      </c>
      <c r="AQ330" s="96">
        <v>0.37</v>
      </c>
      <c r="AR330" s="96">
        <v>32.200000000000003</v>
      </c>
      <c r="AS330" s="93">
        <v>4.2</v>
      </c>
      <c r="AT330" s="96">
        <v>10.199999999999999</v>
      </c>
      <c r="AU330" s="96">
        <v>1.3</v>
      </c>
      <c r="AV330" s="99">
        <v>108</v>
      </c>
      <c r="AW330" s="98">
        <v>17</v>
      </c>
      <c r="AX330" s="98">
        <v>37.299999999999997</v>
      </c>
      <c r="AY330" s="98">
        <v>3.4</v>
      </c>
      <c r="AZ330" s="98">
        <v>161.30000000000001</v>
      </c>
      <c r="BA330" s="98">
        <v>9.1999999999999993</v>
      </c>
      <c r="BB330" s="98">
        <v>30.5</v>
      </c>
      <c r="BC330" s="98">
        <v>2.5</v>
      </c>
      <c r="BD330" s="98">
        <v>259</v>
      </c>
      <c r="BE330" s="98">
        <v>25</v>
      </c>
      <c r="BF330" s="98">
        <v>47.8</v>
      </c>
      <c r="BG330" s="98">
        <v>5.5</v>
      </c>
      <c r="BI330" s="93">
        <v>12.2</v>
      </c>
      <c r="BJ330" s="98">
        <v>4.2</v>
      </c>
      <c r="BK330" s="98">
        <v>526000</v>
      </c>
      <c r="BL330" s="98">
        <v>60000</v>
      </c>
      <c r="BM330" s="98">
        <v>9600</v>
      </c>
      <c r="BN330" s="98">
        <v>1100</v>
      </c>
      <c r="BO330" s="99">
        <v>32</v>
      </c>
      <c r="BP330" s="98">
        <v>3.6</v>
      </c>
      <c r="BQ330" s="99">
        <v>39.9</v>
      </c>
      <c r="BR330" s="98">
        <v>4.3</v>
      </c>
      <c r="BT330" s="95">
        <f t="shared" si="247"/>
        <v>0.15405405405405403</v>
      </c>
      <c r="BU330" s="96">
        <f t="shared" si="248"/>
        <v>2.3142857142857141</v>
      </c>
      <c r="BV330" s="96">
        <f t="shared" si="249"/>
        <v>54.791666666666664</v>
      </c>
      <c r="BW330" s="96">
        <f t="shared" si="250"/>
        <v>0.80200501253132839</v>
      </c>
      <c r="BX330" s="99">
        <f t="shared" si="272"/>
        <v>37.652256583793296</v>
      </c>
      <c r="BY330" s="96">
        <f t="shared" si="251"/>
        <v>2.3142857142857141</v>
      </c>
      <c r="BZ330" s="97">
        <f t="shared" si="252"/>
        <v>2.183288409703504E-3</v>
      </c>
      <c r="CA330" s="95">
        <f t="shared" si="223"/>
        <v>0.21934460360448274</v>
      </c>
      <c r="CB330" s="99">
        <f t="shared" si="243"/>
        <v>65.297850962994332</v>
      </c>
      <c r="CC330" s="99">
        <f t="shared" si="243"/>
        <v>7.0371117579166826</v>
      </c>
      <c r="CD330" s="100">
        <f t="shared" si="253"/>
        <v>793.58744286667604</v>
      </c>
      <c r="CE330" s="100">
        <f t="shared" si="268"/>
        <v>837.03334382706805</v>
      </c>
      <c r="CF330" s="100">
        <f t="shared" ref="CF330:CF340" si="274">((((4800^2)*(BI330^2)*(0.072^2)+(4800^2)*(BJ330^2)+(BI330^2)*(86^2)*((5.711-LOG(BI330))^2))/((BI330^2)*(5.711-LOG(BI330))^4))^(1/2))/2</f>
        <v>40.548089346657108</v>
      </c>
      <c r="CG330" s="96">
        <f t="shared" si="271"/>
        <v>0.11684408094060039</v>
      </c>
      <c r="CH330" s="96">
        <f t="shared" si="246"/>
        <v>0.52803549518637682</v>
      </c>
      <c r="CJ330" s="95">
        <f t="shared" si="273"/>
        <v>5.4852320675105488E-2</v>
      </c>
      <c r="CK330" s="93">
        <f t="shared" si="255"/>
        <v>13.235294117647058</v>
      </c>
      <c r="CL330" s="93">
        <f t="shared" si="256"/>
        <v>2.2526315789473683</v>
      </c>
      <c r="CM330" s="93">
        <f t="shared" si="257"/>
        <v>7.4946466809421839</v>
      </c>
      <c r="CN330" s="93">
        <f t="shared" si="258"/>
        <v>47.712418300653596</v>
      </c>
      <c r="CO330" s="93">
        <f t="shared" si="259"/>
        <v>18.96551724137931</v>
      </c>
      <c r="CP330" s="93">
        <f t="shared" si="260"/>
        <v>156.69099756691</v>
      </c>
      <c r="CQ330" s="93">
        <f t="shared" si="261"/>
        <v>272.72727272727269</v>
      </c>
      <c r="CR330" s="93">
        <f t="shared" si="262"/>
        <v>425.1968503937008</v>
      </c>
      <c r="CS330" s="93">
        <f t="shared" si="263"/>
        <v>659.01060070671372</v>
      </c>
      <c r="CT330" s="93">
        <f t="shared" si="264"/>
        <v>974.62235649546835</v>
      </c>
      <c r="CU330" s="93">
        <f t="shared" si="265"/>
        <v>1196.0784313725492</v>
      </c>
      <c r="CV330" s="93">
        <f t="shared" si="266"/>
        <v>1523.5294117647059</v>
      </c>
      <c r="CW330" s="93">
        <f t="shared" si="267"/>
        <v>1881.8897637795276</v>
      </c>
    </row>
    <row r="331" spans="1:101" s="98" customFormat="1">
      <c r="A331" s="3" t="s">
        <v>539</v>
      </c>
      <c r="B331" s="3" t="s">
        <v>268</v>
      </c>
      <c r="C331" s="3"/>
      <c r="D331" s="93">
        <v>5.5041000000000002</v>
      </c>
      <c r="E331" s="94">
        <v>0.18429999999999999</v>
      </c>
      <c r="F331" s="94">
        <v>1.2999999999999999E-3</v>
      </c>
      <c r="G331" s="95">
        <v>13.308</v>
      </c>
      <c r="H331" s="96">
        <v>0.33</v>
      </c>
      <c r="I331" s="97">
        <v>0.52449999999999997</v>
      </c>
      <c r="J331" s="95">
        <v>1.0999999999999999E-2</v>
      </c>
      <c r="K331" s="96">
        <v>0.37597000000000003</v>
      </c>
      <c r="M331" s="99">
        <v>2718</v>
      </c>
      <c r="N331" s="98">
        <v>48</v>
      </c>
      <c r="O331" s="99">
        <v>2691.5</v>
      </c>
      <c r="P331" s="98">
        <v>6.7</v>
      </c>
      <c r="Q331" s="93">
        <v>-0.99</v>
      </c>
      <c r="R331" s="97">
        <v>7.3999999999999999E-4</v>
      </c>
      <c r="T331" s="98">
        <v>390</v>
      </c>
      <c r="U331" s="98">
        <v>300</v>
      </c>
      <c r="V331" s="98">
        <v>0.1</v>
      </c>
      <c r="W331" s="98">
        <v>1.4</v>
      </c>
      <c r="X331" s="98" t="s">
        <v>250</v>
      </c>
      <c r="Y331" s="98" t="s">
        <v>250</v>
      </c>
      <c r="Z331" s="98">
        <v>2.83</v>
      </c>
      <c r="AA331" s="98">
        <v>0.72</v>
      </c>
      <c r="AB331" s="98">
        <v>1.28</v>
      </c>
      <c r="AC331" s="98">
        <v>0.65</v>
      </c>
      <c r="AD331" s="98">
        <v>1128</v>
      </c>
      <c r="AE331" s="98">
        <v>88</v>
      </c>
      <c r="AF331" s="95">
        <v>8.6E-3</v>
      </c>
      <c r="AG331" s="97">
        <v>9.7000000000000003E-3</v>
      </c>
      <c r="AH331" s="96">
        <v>10</v>
      </c>
      <c r="AI331" s="96">
        <v>1.6</v>
      </c>
      <c r="AJ331" s="95">
        <v>8.5999999999999993E-2</v>
      </c>
      <c r="AK331" s="95">
        <v>3.9E-2</v>
      </c>
      <c r="AL331" s="96">
        <v>1.5</v>
      </c>
      <c r="AM331" s="96">
        <v>0.83</v>
      </c>
      <c r="AN331" s="96">
        <v>4.5</v>
      </c>
      <c r="AO331" s="96">
        <v>1.6</v>
      </c>
      <c r="AP331" s="96">
        <v>0.94</v>
      </c>
      <c r="AQ331" s="96">
        <v>0.23</v>
      </c>
      <c r="AR331" s="96">
        <v>21.4</v>
      </c>
      <c r="AS331" s="93">
        <v>3.2</v>
      </c>
      <c r="AT331" s="96">
        <v>6.42</v>
      </c>
      <c r="AU331" s="96">
        <v>0.97</v>
      </c>
      <c r="AV331" s="99">
        <v>85</v>
      </c>
      <c r="AW331" s="98">
        <v>13</v>
      </c>
      <c r="AX331" s="98">
        <v>36.6</v>
      </c>
      <c r="AY331" s="98">
        <v>6.1</v>
      </c>
      <c r="AZ331" s="98">
        <v>173</v>
      </c>
      <c r="BA331" s="98">
        <v>24</v>
      </c>
      <c r="BB331" s="98">
        <v>34.5</v>
      </c>
      <c r="BC331" s="98">
        <v>5.2</v>
      </c>
      <c r="BD331" s="98">
        <v>337</v>
      </c>
      <c r="BE331" s="98">
        <v>53</v>
      </c>
      <c r="BF331" s="98">
        <v>67</v>
      </c>
      <c r="BG331" s="98">
        <v>10</v>
      </c>
      <c r="BI331" s="93">
        <v>14.3</v>
      </c>
      <c r="BJ331" s="98">
        <v>3.7</v>
      </c>
      <c r="BK331" s="98">
        <v>516000</v>
      </c>
      <c r="BL331" s="98">
        <v>56000</v>
      </c>
      <c r="BM331" s="98">
        <v>8400</v>
      </c>
      <c r="BN331" s="98">
        <v>1000</v>
      </c>
      <c r="BO331" s="99">
        <v>37.299999999999997</v>
      </c>
      <c r="BP331" s="98">
        <v>3.5</v>
      </c>
      <c r="BQ331" s="99">
        <v>68.5</v>
      </c>
      <c r="BR331" s="98">
        <v>6.4</v>
      </c>
      <c r="BT331" s="95">
        <f t="shared" si="247"/>
        <v>0.20326409495548961</v>
      </c>
      <c r="BU331" s="96">
        <f t="shared" si="248"/>
        <v>6.666666666666667</v>
      </c>
      <c r="BV331" s="96">
        <f t="shared" si="249"/>
        <v>61.428571428571431</v>
      </c>
      <c r="BW331" s="96">
        <f t="shared" si="250"/>
        <v>0.54452554744525539</v>
      </c>
      <c r="BX331" s="99">
        <f t="shared" si="272"/>
        <v>90.154228713469365</v>
      </c>
      <c r="BY331" s="96">
        <f t="shared" si="251"/>
        <v>6.666666666666667</v>
      </c>
      <c r="BZ331" s="97">
        <f t="shared" si="252"/>
        <v>5.9101654846335696E-3</v>
      </c>
      <c r="CA331" s="95">
        <f t="shared" si="223"/>
        <v>0.29284535849435561</v>
      </c>
      <c r="CB331" s="99">
        <f t="shared" si="243"/>
        <v>112.10282684123088</v>
      </c>
      <c r="CC331" s="99">
        <f t="shared" si="243"/>
        <v>10.473840755969016</v>
      </c>
      <c r="CD331" s="100">
        <f t="shared" si="253"/>
        <v>810.19409272606879</v>
      </c>
      <c r="CE331" s="100">
        <f t="shared" si="268"/>
        <v>855.03165731190495</v>
      </c>
      <c r="CF331" s="100">
        <f t="shared" si="274"/>
        <v>32.460287342981736</v>
      </c>
      <c r="CG331" s="96">
        <f t="shared" si="271"/>
        <v>-0.12388044016421373</v>
      </c>
      <c r="CH331" s="96">
        <f t="shared" si="246"/>
        <v>0.41744602600337205</v>
      </c>
      <c r="CJ331" s="95">
        <f t="shared" si="273"/>
        <v>3.6286919831223632E-2</v>
      </c>
      <c r="CK331" s="93">
        <f t="shared" si="255"/>
        <v>16.33986928104575</v>
      </c>
      <c r="CL331" s="93">
        <f t="shared" si="256"/>
        <v>0.90526315789473677</v>
      </c>
      <c r="CM331" s="93">
        <f t="shared" si="257"/>
        <v>3.2119914346895073</v>
      </c>
      <c r="CN331" s="93">
        <f t="shared" si="258"/>
        <v>29.411764705882355</v>
      </c>
      <c r="CO331" s="93">
        <f t="shared" si="259"/>
        <v>16.206896551724135</v>
      </c>
      <c r="CP331" s="93">
        <f t="shared" si="260"/>
        <v>104.13625304136254</v>
      </c>
      <c r="CQ331" s="93">
        <f t="shared" si="261"/>
        <v>171.65775401069519</v>
      </c>
      <c r="CR331" s="93">
        <f t="shared" si="262"/>
        <v>334.64566929133861</v>
      </c>
      <c r="CS331" s="93">
        <f t="shared" si="263"/>
        <v>646.64310954063615</v>
      </c>
      <c r="CT331" s="93">
        <f t="shared" si="264"/>
        <v>1045.3172205438066</v>
      </c>
      <c r="CU331" s="93">
        <f t="shared" si="265"/>
        <v>1352.9411764705883</v>
      </c>
      <c r="CV331" s="93">
        <f t="shared" si="266"/>
        <v>1982.3529411764705</v>
      </c>
      <c r="CW331" s="93">
        <f t="shared" si="267"/>
        <v>2637.7952755905512</v>
      </c>
    </row>
    <row r="332" spans="1:101" s="98" customFormat="1">
      <c r="A332" s="3" t="s">
        <v>540</v>
      </c>
      <c r="B332" s="3" t="s">
        <v>268</v>
      </c>
      <c r="C332" s="3"/>
      <c r="D332" s="93">
        <v>5.4699</v>
      </c>
      <c r="E332" s="94">
        <v>0.18709999999999999</v>
      </c>
      <c r="F332" s="94">
        <v>2.8E-3</v>
      </c>
      <c r="G332" s="95">
        <v>13.37</v>
      </c>
      <c r="H332" s="96">
        <v>0.39</v>
      </c>
      <c r="I332" s="97">
        <v>0.51890000000000003</v>
      </c>
      <c r="J332" s="95">
        <v>1.2E-2</v>
      </c>
      <c r="K332" s="96">
        <v>0.57967999999999997</v>
      </c>
      <c r="M332" s="99">
        <v>2695</v>
      </c>
      <c r="N332" s="98">
        <v>50</v>
      </c>
      <c r="O332" s="99">
        <v>2718</v>
      </c>
      <c r="P332" s="98">
        <v>13</v>
      </c>
      <c r="Q332" s="93">
        <v>0.85</v>
      </c>
      <c r="R332" s="97">
        <v>3.8999999999999998E-3</v>
      </c>
      <c r="T332" s="98">
        <v>1190</v>
      </c>
      <c r="U332" s="98">
        <v>480</v>
      </c>
      <c r="V332" s="98">
        <v>0.8</v>
      </c>
      <c r="W332" s="98">
        <v>1.3</v>
      </c>
      <c r="X332" s="98">
        <v>0.28999999999999998</v>
      </c>
      <c r="Y332" s="98">
        <v>0.31</v>
      </c>
      <c r="Z332" s="98">
        <v>0.77</v>
      </c>
      <c r="AA332" s="98">
        <v>0.37</v>
      </c>
      <c r="AB332" s="98">
        <v>0.44</v>
      </c>
      <c r="AC332" s="98">
        <v>0.23</v>
      </c>
      <c r="AD332" s="98">
        <v>910</v>
      </c>
      <c r="AE332" s="98">
        <v>110</v>
      </c>
      <c r="AF332" s="95">
        <v>0.01</v>
      </c>
      <c r="AG332" s="97">
        <v>1.7000000000000001E-2</v>
      </c>
      <c r="AH332" s="96">
        <v>6.3</v>
      </c>
      <c r="AI332" s="96">
        <v>1.4</v>
      </c>
      <c r="AJ332" s="95">
        <v>0.14599999999999999</v>
      </c>
      <c r="AK332" s="95">
        <v>5.0999999999999997E-2</v>
      </c>
      <c r="AL332" s="96">
        <v>2.9</v>
      </c>
      <c r="AM332" s="96">
        <v>1.1000000000000001</v>
      </c>
      <c r="AN332" s="96">
        <v>4.5999999999999996</v>
      </c>
      <c r="AO332" s="96">
        <v>1.3</v>
      </c>
      <c r="AP332" s="96">
        <v>0.94</v>
      </c>
      <c r="AQ332" s="96">
        <v>0.24</v>
      </c>
      <c r="AR332" s="96">
        <v>25</v>
      </c>
      <c r="AS332" s="93">
        <v>4.0999999999999996</v>
      </c>
      <c r="AT332" s="96">
        <v>7.75</v>
      </c>
      <c r="AU332" s="96">
        <v>0.89</v>
      </c>
      <c r="AV332" s="99">
        <v>86.6</v>
      </c>
      <c r="AW332" s="98">
        <v>7.2</v>
      </c>
      <c r="AX332" s="98">
        <v>31.3</v>
      </c>
      <c r="AY332" s="98">
        <v>2.8</v>
      </c>
      <c r="AZ332" s="98">
        <v>140</v>
      </c>
      <c r="BA332" s="98">
        <v>18</v>
      </c>
      <c r="BB332" s="98">
        <v>25.6</v>
      </c>
      <c r="BC332" s="98">
        <v>2.9</v>
      </c>
      <c r="BD332" s="98">
        <v>219</v>
      </c>
      <c r="BE332" s="98">
        <v>21</v>
      </c>
      <c r="BF332" s="98">
        <v>44.6</v>
      </c>
      <c r="BG332" s="98">
        <v>4.5999999999999996</v>
      </c>
      <c r="BI332" s="93">
        <v>8.9</v>
      </c>
      <c r="BJ332" s="98">
        <v>3.1</v>
      </c>
      <c r="BK332" s="98">
        <v>511000</v>
      </c>
      <c r="BL332" s="98">
        <v>50000</v>
      </c>
      <c r="BM332" s="98">
        <v>9300</v>
      </c>
      <c r="BN332" s="98">
        <v>1100</v>
      </c>
      <c r="BO332" s="99">
        <v>27.1</v>
      </c>
      <c r="BP332" s="98">
        <v>2.4</v>
      </c>
      <c r="BQ332" s="99">
        <v>35.6</v>
      </c>
      <c r="BR332" s="98">
        <v>3.2</v>
      </c>
      <c r="BT332" s="95">
        <f t="shared" si="247"/>
        <v>0.16255707762557078</v>
      </c>
      <c r="BU332" s="96">
        <f t="shared" si="248"/>
        <v>2.1724137931034484</v>
      </c>
      <c r="BV332" s="96">
        <f t="shared" si="249"/>
        <v>54.946236559139784</v>
      </c>
      <c r="BW332" s="96">
        <f t="shared" si="250"/>
        <v>0.7612359550561798</v>
      </c>
      <c r="BX332" s="99">
        <f t="shared" si="272"/>
        <v>40.424874012481048</v>
      </c>
      <c r="BY332" s="96">
        <f t="shared" si="251"/>
        <v>2.1724137931034484</v>
      </c>
      <c r="BZ332" s="97">
        <f t="shared" si="252"/>
        <v>2.3872679045092841E-3</v>
      </c>
      <c r="CA332" s="95">
        <f t="shared" si="223"/>
        <v>0.26798011451857234</v>
      </c>
      <c r="CB332" s="99">
        <f t="shared" si="243"/>
        <v>58.260739205077655</v>
      </c>
      <c r="CC332" s="99">
        <f t="shared" si="243"/>
        <v>5.2369203779845082</v>
      </c>
      <c r="CD332" s="100">
        <f t="shared" si="253"/>
        <v>762.07543096311917</v>
      </c>
      <c r="CE332" s="100">
        <f t="shared" si="268"/>
        <v>802.94324403655708</v>
      </c>
      <c r="CF332" s="100">
        <f t="shared" si="274"/>
        <v>38.717534111426744</v>
      </c>
      <c r="CG332" s="96">
        <f t="shared" si="271"/>
        <v>5.3410627813277767E-2</v>
      </c>
      <c r="CH332" s="96">
        <f t="shared" si="246"/>
        <v>0.57090109682668999</v>
      </c>
      <c r="CJ332" s="95">
        <f t="shared" si="273"/>
        <v>4.2194092827004225E-2</v>
      </c>
      <c r="CK332" s="93">
        <f t="shared" si="255"/>
        <v>10.294117647058824</v>
      </c>
      <c r="CL332" s="93">
        <f t="shared" si="256"/>
        <v>1.5368421052631578</v>
      </c>
      <c r="CM332" s="93">
        <f t="shared" si="257"/>
        <v>6.209850107066381</v>
      </c>
      <c r="CN332" s="93">
        <f t="shared" si="258"/>
        <v>30.065359477124183</v>
      </c>
      <c r="CO332" s="93">
        <f t="shared" si="259"/>
        <v>16.206896551724135</v>
      </c>
      <c r="CP332" s="93">
        <f t="shared" si="260"/>
        <v>121.65450121654501</v>
      </c>
      <c r="CQ332" s="93">
        <f t="shared" si="261"/>
        <v>207.21925133689837</v>
      </c>
      <c r="CR332" s="93">
        <f t="shared" si="262"/>
        <v>340.94488188976374</v>
      </c>
      <c r="CS332" s="93">
        <f t="shared" si="263"/>
        <v>553.00353356890469</v>
      </c>
      <c r="CT332" s="93">
        <f t="shared" si="264"/>
        <v>845.92145015105734</v>
      </c>
      <c r="CU332" s="93">
        <f t="shared" si="265"/>
        <v>1003.9215686274511</v>
      </c>
      <c r="CV332" s="93">
        <f t="shared" si="266"/>
        <v>1288.2352941176471</v>
      </c>
      <c r="CW332" s="93">
        <f t="shared" si="267"/>
        <v>1755.9055118110236</v>
      </c>
    </row>
    <row r="333" spans="1:101" s="98" customFormat="1">
      <c r="A333" s="3" t="s">
        <v>541</v>
      </c>
      <c r="B333" s="3" t="s">
        <v>268</v>
      </c>
      <c r="C333" s="3"/>
      <c r="D333" s="93">
        <v>5.8852000000000002</v>
      </c>
      <c r="E333" s="94">
        <v>0.186</v>
      </c>
      <c r="F333" s="94">
        <v>2E-3</v>
      </c>
      <c r="G333" s="95">
        <v>13.38</v>
      </c>
      <c r="H333" s="96">
        <v>0.36</v>
      </c>
      <c r="I333" s="97">
        <v>0.52259999999999995</v>
      </c>
      <c r="J333" s="95">
        <v>1.2E-2</v>
      </c>
      <c r="K333" s="96">
        <v>0.54798999999999998</v>
      </c>
      <c r="M333" s="99">
        <v>2710</v>
      </c>
      <c r="N333" s="98">
        <v>49</v>
      </c>
      <c r="O333" s="99">
        <v>2708</v>
      </c>
      <c r="P333" s="98">
        <v>11</v>
      </c>
      <c r="Q333" s="93">
        <v>-0.1</v>
      </c>
      <c r="R333" s="97">
        <v>1.6000000000000001E-3</v>
      </c>
      <c r="T333" s="98">
        <v>390</v>
      </c>
      <c r="U333" s="98">
        <v>220</v>
      </c>
      <c r="V333" s="98">
        <v>2.2000000000000002</v>
      </c>
      <c r="W333" s="98">
        <v>1.4</v>
      </c>
      <c r="X333" s="98">
        <v>0.31</v>
      </c>
      <c r="Y333" s="98">
        <v>0.32</v>
      </c>
      <c r="Z333" s="98">
        <v>2.2599999999999998</v>
      </c>
      <c r="AA333" s="98">
        <v>0.63</v>
      </c>
      <c r="AB333" s="98">
        <v>0.93</v>
      </c>
      <c r="AC333" s="98">
        <v>0.22</v>
      </c>
      <c r="AD333" s="98">
        <v>960</v>
      </c>
      <c r="AE333" s="98">
        <v>100</v>
      </c>
      <c r="AF333" s="95">
        <v>8.9999999999999993E-3</v>
      </c>
      <c r="AG333" s="97">
        <v>0.01</v>
      </c>
      <c r="AH333" s="96">
        <v>8.5</v>
      </c>
      <c r="AI333" s="96">
        <v>1.6</v>
      </c>
      <c r="AJ333" s="95">
        <v>7.2999999999999995E-2</v>
      </c>
      <c r="AK333" s="95">
        <v>3.6999999999999998E-2</v>
      </c>
      <c r="AL333" s="96">
        <v>1.91</v>
      </c>
      <c r="AM333" s="96">
        <v>0.73</v>
      </c>
      <c r="AN333" s="96">
        <v>3.7</v>
      </c>
      <c r="AO333" s="96">
        <v>1.1000000000000001</v>
      </c>
      <c r="AP333" s="96">
        <v>1.1200000000000001</v>
      </c>
      <c r="AQ333" s="96">
        <v>0.35</v>
      </c>
      <c r="AR333" s="96">
        <v>18.899999999999999</v>
      </c>
      <c r="AS333" s="93">
        <v>4</v>
      </c>
      <c r="AT333" s="96">
        <v>6.17</v>
      </c>
      <c r="AU333" s="96">
        <v>0.54</v>
      </c>
      <c r="AV333" s="99">
        <v>90</v>
      </c>
      <c r="AW333" s="98">
        <v>16</v>
      </c>
      <c r="AX333" s="98">
        <v>31.7</v>
      </c>
      <c r="AY333" s="98">
        <v>3.5</v>
      </c>
      <c r="AZ333" s="98">
        <v>142</v>
      </c>
      <c r="BA333" s="98">
        <v>16</v>
      </c>
      <c r="BB333" s="98">
        <v>28.2</v>
      </c>
      <c r="BC333" s="98">
        <v>2.4</v>
      </c>
      <c r="BD333" s="98">
        <v>265</v>
      </c>
      <c r="BE333" s="98">
        <v>25</v>
      </c>
      <c r="BF333" s="98">
        <v>52.3</v>
      </c>
      <c r="BG333" s="98">
        <v>6.6</v>
      </c>
      <c r="BI333" s="93">
        <v>14.7</v>
      </c>
      <c r="BJ333" s="98">
        <v>3.2</v>
      </c>
      <c r="BK333" s="98">
        <v>533000</v>
      </c>
      <c r="BL333" s="98">
        <v>47000</v>
      </c>
      <c r="BM333" s="98">
        <v>9200</v>
      </c>
      <c r="BN333" s="98">
        <v>1100</v>
      </c>
      <c r="BO333" s="99">
        <v>29.7</v>
      </c>
      <c r="BP333" s="98">
        <v>2.6</v>
      </c>
      <c r="BQ333" s="99">
        <v>46.5</v>
      </c>
      <c r="BR333" s="98">
        <v>4</v>
      </c>
      <c r="BT333" s="95">
        <f t="shared" si="247"/>
        <v>0.17547169811320754</v>
      </c>
      <c r="BU333" s="96">
        <f t="shared" si="248"/>
        <v>4.4502617801047126</v>
      </c>
      <c r="BV333" s="96">
        <f t="shared" si="249"/>
        <v>57.934782608695649</v>
      </c>
      <c r="BW333" s="96">
        <f t="shared" si="250"/>
        <v>0.6387096774193548</v>
      </c>
      <c r="BX333" s="99">
        <f t="shared" si="272"/>
        <v>81.305662785932768</v>
      </c>
      <c r="BY333" s="96">
        <f t="shared" si="251"/>
        <v>4.4502617801047126</v>
      </c>
      <c r="BZ333" s="97">
        <f t="shared" si="252"/>
        <v>4.6356893542757426E-3</v>
      </c>
      <c r="CA333" s="95">
        <f t="shared" ref="CA333:CA340" si="275">CO333/SQRT(CN333*CP333)</f>
        <v>0.40945850224914471</v>
      </c>
      <c r="CB333" s="99">
        <f t="shared" si="243"/>
        <v>76.098999242587382</v>
      </c>
      <c r="CC333" s="99">
        <f t="shared" si="243"/>
        <v>6.546150472480635</v>
      </c>
      <c r="CD333" s="100">
        <f t="shared" si="253"/>
        <v>813.13154912645393</v>
      </c>
      <c r="CE333" s="100">
        <f t="shared" si="268"/>
        <v>858.21765458255197</v>
      </c>
      <c r="CF333" s="100">
        <f t="shared" si="274"/>
        <v>28.28472476706942</v>
      </c>
      <c r="CG333" s="96">
        <f t="shared" si="271"/>
        <v>-9.3767565532067998E-2</v>
      </c>
      <c r="CH333" s="96">
        <f t="shared" si="246"/>
        <v>0.43538501925407241</v>
      </c>
      <c r="CJ333" s="95">
        <f t="shared" si="273"/>
        <v>3.7974683544303799E-2</v>
      </c>
      <c r="CK333" s="93">
        <f t="shared" si="255"/>
        <v>13.888888888888889</v>
      </c>
      <c r="CL333" s="93">
        <f t="shared" si="256"/>
        <v>0.76842105263157889</v>
      </c>
      <c r="CM333" s="93">
        <f t="shared" si="257"/>
        <v>4.089935760171306</v>
      </c>
      <c r="CN333" s="93">
        <f t="shared" si="258"/>
        <v>24.183006535947715</v>
      </c>
      <c r="CO333" s="93">
        <f t="shared" si="259"/>
        <v>19.310344827586206</v>
      </c>
      <c r="CP333" s="93">
        <f t="shared" si="260"/>
        <v>91.970802919708021</v>
      </c>
      <c r="CQ333" s="93">
        <f t="shared" si="261"/>
        <v>164.97326203208556</v>
      </c>
      <c r="CR333" s="93">
        <f t="shared" si="262"/>
        <v>354.3307086614173</v>
      </c>
      <c r="CS333" s="93">
        <f t="shared" si="263"/>
        <v>560.0706713780919</v>
      </c>
      <c r="CT333" s="93">
        <f t="shared" si="264"/>
        <v>858.00604229607245</v>
      </c>
      <c r="CU333" s="93">
        <f t="shared" si="265"/>
        <v>1105.8823529411766</v>
      </c>
      <c r="CV333" s="93">
        <f t="shared" si="266"/>
        <v>1558.8235294117646</v>
      </c>
      <c r="CW333" s="93">
        <f t="shared" si="267"/>
        <v>2059.055118110236</v>
      </c>
    </row>
    <row r="334" spans="1:101" s="98" customFormat="1">
      <c r="A334" s="3" t="s">
        <v>542</v>
      </c>
      <c r="B334" s="3" t="s">
        <v>268</v>
      </c>
      <c r="C334" s="3"/>
      <c r="D334" s="93">
        <v>5.9226999999999999</v>
      </c>
      <c r="E334" s="94">
        <v>0.1837</v>
      </c>
      <c r="F334" s="94">
        <v>2.3E-3</v>
      </c>
      <c r="G334" s="95">
        <v>13.14</v>
      </c>
      <c r="H334" s="96">
        <v>0.38</v>
      </c>
      <c r="I334" s="97">
        <v>0.51959999999999995</v>
      </c>
      <c r="J334" s="95">
        <v>1.4E-2</v>
      </c>
      <c r="K334" s="96">
        <v>0.71796000000000004</v>
      </c>
      <c r="M334" s="99">
        <v>2697</v>
      </c>
      <c r="N334" s="98">
        <v>58</v>
      </c>
      <c r="O334" s="99">
        <v>2685</v>
      </c>
      <c r="P334" s="98">
        <v>16</v>
      </c>
      <c r="Q334" s="93">
        <v>-0.5</v>
      </c>
      <c r="R334" s="97">
        <v>3.8999999999999998E-3</v>
      </c>
      <c r="T334" s="98">
        <v>470</v>
      </c>
      <c r="U334" s="98">
        <v>160</v>
      </c>
      <c r="V334" s="98">
        <v>0.3</v>
      </c>
      <c r="W334" s="98">
        <v>1.4</v>
      </c>
      <c r="X334" s="98">
        <v>0.18</v>
      </c>
      <c r="Y334" s="98">
        <v>0.2</v>
      </c>
      <c r="Z334" s="98">
        <v>1.44</v>
      </c>
      <c r="AA334" s="98">
        <v>0.44</v>
      </c>
      <c r="AB334" s="98">
        <v>0.93</v>
      </c>
      <c r="AC334" s="98">
        <v>0.4</v>
      </c>
      <c r="AD334" s="98">
        <v>1240</v>
      </c>
      <c r="AE334" s="98">
        <v>150</v>
      </c>
      <c r="AF334" s="95">
        <v>1.7000000000000001E-2</v>
      </c>
      <c r="AG334" s="97">
        <v>1.7000000000000001E-2</v>
      </c>
      <c r="AH334" s="96">
        <v>9.1999999999999993</v>
      </c>
      <c r="AI334" s="96">
        <v>1.3</v>
      </c>
      <c r="AJ334" s="95">
        <v>0.223</v>
      </c>
      <c r="AK334" s="95">
        <v>8.4000000000000005E-2</v>
      </c>
      <c r="AL334" s="96">
        <v>3.51</v>
      </c>
      <c r="AM334" s="96">
        <v>0.86</v>
      </c>
      <c r="AN334" s="96">
        <v>6.9</v>
      </c>
      <c r="AO334" s="96">
        <v>1.3</v>
      </c>
      <c r="AP334" s="96">
        <v>1.37</v>
      </c>
      <c r="AQ334" s="96">
        <v>0.49</v>
      </c>
      <c r="AR334" s="96">
        <v>31.9</v>
      </c>
      <c r="AS334" s="93">
        <v>5</v>
      </c>
      <c r="AT334" s="96">
        <v>9.1999999999999993</v>
      </c>
      <c r="AU334" s="96">
        <v>2.2000000000000002</v>
      </c>
      <c r="AV334" s="99">
        <v>123</v>
      </c>
      <c r="AW334" s="98">
        <v>20</v>
      </c>
      <c r="AX334" s="98">
        <v>40.9</v>
      </c>
      <c r="AY334" s="98">
        <v>3.7</v>
      </c>
      <c r="AZ334" s="98">
        <v>184</v>
      </c>
      <c r="BA334" s="98">
        <v>18</v>
      </c>
      <c r="BB334" s="98">
        <v>34.9</v>
      </c>
      <c r="BC334" s="98">
        <v>4.3</v>
      </c>
      <c r="BD334" s="98">
        <v>312</v>
      </c>
      <c r="BE334" s="98">
        <v>28</v>
      </c>
      <c r="BF334" s="98">
        <v>58.9</v>
      </c>
      <c r="BG334" s="98">
        <v>6</v>
      </c>
      <c r="BI334" s="93">
        <v>6.2</v>
      </c>
      <c r="BJ334" s="98">
        <v>2.5</v>
      </c>
      <c r="BK334" s="98">
        <v>485000</v>
      </c>
      <c r="BL334" s="98">
        <v>72000</v>
      </c>
      <c r="BM334" s="98">
        <v>8800</v>
      </c>
      <c r="BN334" s="98">
        <v>1100</v>
      </c>
      <c r="BO334" s="99">
        <v>41.1</v>
      </c>
      <c r="BP334" s="98">
        <v>7.2</v>
      </c>
      <c r="BQ334" s="99">
        <v>55.6</v>
      </c>
      <c r="BR334" s="98">
        <v>9</v>
      </c>
      <c r="BT334" s="95">
        <f t="shared" si="247"/>
        <v>0.17820512820512821</v>
      </c>
      <c r="BU334" s="96">
        <f t="shared" si="248"/>
        <v>2.6210826210826212</v>
      </c>
      <c r="BV334" s="96">
        <f t="shared" si="249"/>
        <v>55.113636363636367</v>
      </c>
      <c r="BW334" s="96">
        <f t="shared" si="250"/>
        <v>0.73920863309352514</v>
      </c>
      <c r="BX334" s="99">
        <f t="shared" si="272"/>
        <v>36.634940340777085</v>
      </c>
      <c r="BY334" s="96">
        <f t="shared" si="251"/>
        <v>2.6210826210826212</v>
      </c>
      <c r="BZ334" s="97">
        <f t="shared" si="252"/>
        <v>2.1137763073246947E-3</v>
      </c>
      <c r="CA334" s="95">
        <f t="shared" si="275"/>
        <v>0.28230873449251009</v>
      </c>
      <c r="CB334" s="99">
        <f t="shared" si="243"/>
        <v>90.991491567480836</v>
      </c>
      <c r="CC334" s="99">
        <f t="shared" si="243"/>
        <v>14.728838563081428</v>
      </c>
      <c r="CD334" s="100">
        <f t="shared" si="253"/>
        <v>728.17058040483846</v>
      </c>
      <c r="CE334" s="100">
        <f t="shared" si="268"/>
        <v>766.35592122629635</v>
      </c>
      <c r="CF334" s="100">
        <f t="shared" si="274"/>
        <v>41.563885902436574</v>
      </c>
      <c r="CG334" s="96">
        <f t="shared" si="271"/>
        <v>0.63648544605951773</v>
      </c>
      <c r="CH334" s="96">
        <f t="shared" si="246"/>
        <v>0.5819669954977531</v>
      </c>
      <c r="CJ334" s="95">
        <f t="shared" si="273"/>
        <v>7.1729957805907185E-2</v>
      </c>
      <c r="CK334" s="93">
        <f t="shared" si="255"/>
        <v>15.032679738562091</v>
      </c>
      <c r="CL334" s="93">
        <f t="shared" si="256"/>
        <v>2.3473684210526318</v>
      </c>
      <c r="CM334" s="93">
        <f t="shared" si="257"/>
        <v>7.5160599571734465</v>
      </c>
      <c r="CN334" s="93">
        <f t="shared" si="258"/>
        <v>45.098039215686278</v>
      </c>
      <c r="CO334" s="93">
        <f t="shared" si="259"/>
        <v>23.620689655172413</v>
      </c>
      <c r="CP334" s="93">
        <f t="shared" si="260"/>
        <v>155.23114355231144</v>
      </c>
      <c r="CQ334" s="93">
        <f t="shared" si="261"/>
        <v>245.98930481283418</v>
      </c>
      <c r="CR334" s="93">
        <f t="shared" si="262"/>
        <v>484.25196850393701</v>
      </c>
      <c r="CS334" s="93">
        <f t="shared" si="263"/>
        <v>722.61484098939934</v>
      </c>
      <c r="CT334" s="93">
        <f t="shared" si="264"/>
        <v>1111.7824773413897</v>
      </c>
      <c r="CU334" s="93">
        <f t="shared" si="265"/>
        <v>1368.6274509803923</v>
      </c>
      <c r="CV334" s="93">
        <f t="shared" si="266"/>
        <v>1835.2941176470588</v>
      </c>
      <c r="CW334" s="93">
        <f t="shared" si="267"/>
        <v>2318.8976377952758</v>
      </c>
    </row>
    <row r="335" spans="1:101" s="98" customFormat="1">
      <c r="A335" s="3" t="s">
        <v>543</v>
      </c>
      <c r="B335" s="3" t="s">
        <v>268</v>
      </c>
      <c r="C335" s="3"/>
      <c r="D335" s="93">
        <v>6.1997</v>
      </c>
      <c r="E335" s="94">
        <v>0.18720000000000001</v>
      </c>
      <c r="F335" s="94">
        <v>2.0999999999999999E-3</v>
      </c>
      <c r="G335" s="95">
        <v>13.37</v>
      </c>
      <c r="H335" s="96">
        <v>0.37</v>
      </c>
      <c r="I335" s="97">
        <v>0.51859999999999995</v>
      </c>
      <c r="J335" s="95">
        <v>1.2E-2</v>
      </c>
      <c r="K335" s="96">
        <v>0.44922000000000001</v>
      </c>
      <c r="M335" s="99">
        <v>2693</v>
      </c>
      <c r="N335" s="98">
        <v>49</v>
      </c>
      <c r="O335" s="99">
        <v>2714</v>
      </c>
      <c r="P335" s="98">
        <v>10</v>
      </c>
      <c r="Q335" s="93">
        <v>0.77</v>
      </c>
      <c r="R335" s="97">
        <v>3.7000000000000002E-3</v>
      </c>
      <c r="T335" s="98">
        <v>250</v>
      </c>
      <c r="U335" s="98">
        <v>220</v>
      </c>
      <c r="V335" s="98">
        <v>0.7</v>
      </c>
      <c r="W335" s="98">
        <v>1.5</v>
      </c>
      <c r="X335" s="98" t="s">
        <v>250</v>
      </c>
      <c r="Y335" s="98" t="s">
        <v>250</v>
      </c>
      <c r="Z335" s="98">
        <v>2</v>
      </c>
      <c r="AA335" s="98">
        <v>0.83</v>
      </c>
      <c r="AB335" s="98">
        <v>0.78</v>
      </c>
      <c r="AC335" s="98">
        <v>0.4</v>
      </c>
      <c r="AD335" s="98">
        <v>811</v>
      </c>
      <c r="AE335" s="98">
        <v>75</v>
      </c>
      <c r="AF335" s="95">
        <v>1.2999999999999999E-2</v>
      </c>
      <c r="AG335" s="97">
        <v>1.4E-2</v>
      </c>
      <c r="AH335" s="96">
        <v>6.61</v>
      </c>
      <c r="AI335" s="96">
        <v>0.8</v>
      </c>
      <c r="AJ335" s="95">
        <v>9.0999999999999998E-2</v>
      </c>
      <c r="AK335" s="95">
        <v>5.2999999999999999E-2</v>
      </c>
      <c r="AL335" s="96">
        <v>1.62</v>
      </c>
      <c r="AM335" s="96">
        <v>0.54</v>
      </c>
      <c r="AN335" s="96">
        <v>2.73</v>
      </c>
      <c r="AO335" s="96">
        <v>0.45</v>
      </c>
      <c r="AP335" s="96">
        <v>1.04</v>
      </c>
      <c r="AQ335" s="96">
        <v>0.14000000000000001</v>
      </c>
      <c r="AR335" s="96">
        <v>21</v>
      </c>
      <c r="AS335" s="93">
        <v>2.8</v>
      </c>
      <c r="AT335" s="96">
        <v>6.03</v>
      </c>
      <c r="AU335" s="96">
        <v>0.87</v>
      </c>
      <c r="AV335" s="99">
        <v>69.2</v>
      </c>
      <c r="AW335" s="98">
        <v>6</v>
      </c>
      <c r="AX335" s="98">
        <v>25.3</v>
      </c>
      <c r="AY335" s="98">
        <v>2.2999999999999998</v>
      </c>
      <c r="AZ335" s="98">
        <v>117</v>
      </c>
      <c r="BA335" s="98">
        <v>11</v>
      </c>
      <c r="BB335" s="98">
        <v>25.9</v>
      </c>
      <c r="BC335" s="98">
        <v>2.4</v>
      </c>
      <c r="BD335" s="98">
        <v>233</v>
      </c>
      <c r="BE335" s="98">
        <v>29</v>
      </c>
      <c r="BF335" s="98">
        <v>47</v>
      </c>
      <c r="BG335" s="98">
        <v>3.6</v>
      </c>
      <c r="BI335" s="93">
        <v>11.9</v>
      </c>
      <c r="BJ335" s="98">
        <v>2.6</v>
      </c>
      <c r="BK335" s="98">
        <v>526000</v>
      </c>
      <c r="BL335" s="98">
        <v>50000</v>
      </c>
      <c r="BM335" s="98">
        <v>8490</v>
      </c>
      <c r="BN335" s="98">
        <v>760</v>
      </c>
      <c r="BO335" s="99">
        <v>18.8</v>
      </c>
      <c r="BP335" s="98">
        <v>1.4</v>
      </c>
      <c r="BQ335" s="99">
        <v>36.6</v>
      </c>
      <c r="BR335" s="98">
        <v>2.7</v>
      </c>
      <c r="BT335" s="95">
        <f t="shared" si="247"/>
        <v>0.15708154506437769</v>
      </c>
      <c r="BU335" s="96">
        <f t="shared" si="248"/>
        <v>4.0802469135802468</v>
      </c>
      <c r="BV335" s="96">
        <f t="shared" si="249"/>
        <v>61.955241460541814</v>
      </c>
      <c r="BW335" s="96">
        <f t="shared" si="250"/>
        <v>0.51366120218579236</v>
      </c>
      <c r="BX335" s="99">
        <f t="shared" si="272"/>
        <v>47.118736982701385</v>
      </c>
      <c r="BY335" s="96">
        <f t="shared" si="251"/>
        <v>4.0802469135802468</v>
      </c>
      <c r="BZ335" s="97">
        <f t="shared" si="252"/>
        <v>5.0311305962765064E-3</v>
      </c>
      <c r="CA335" s="95">
        <f t="shared" si="275"/>
        <v>0.41991946201948865</v>
      </c>
      <c r="CB335" s="99">
        <f t="shared" si="243"/>
        <v>59.897276823197814</v>
      </c>
      <c r="CC335" s="99">
        <f t="shared" si="243"/>
        <v>4.418651568924429</v>
      </c>
      <c r="CD335" s="100">
        <f t="shared" si="253"/>
        <v>791.03019733858821</v>
      </c>
      <c r="CE335" s="100">
        <f t="shared" si="268"/>
        <v>834.26382473371598</v>
      </c>
      <c r="CF335" s="100">
        <f t="shared" si="274"/>
        <v>27.317698092166484</v>
      </c>
      <c r="CG335" s="96">
        <f t="shared" si="271"/>
        <v>-0.13903948528626975</v>
      </c>
      <c r="CH335" s="96">
        <f t="shared" si="246"/>
        <v>0.31285689986604143</v>
      </c>
      <c r="CJ335" s="95">
        <f t="shared" si="273"/>
        <v>5.4852320675105488E-2</v>
      </c>
      <c r="CK335" s="93">
        <f t="shared" si="255"/>
        <v>10.800653594771243</v>
      </c>
      <c r="CL335" s="93">
        <f t="shared" si="256"/>
        <v>0.95789473684210524</v>
      </c>
      <c r="CM335" s="93">
        <f t="shared" si="257"/>
        <v>3.4689507494646681</v>
      </c>
      <c r="CN335" s="93">
        <f t="shared" si="258"/>
        <v>17.843137254901961</v>
      </c>
      <c r="CO335" s="93">
        <f t="shared" si="259"/>
        <v>17.931034482758619</v>
      </c>
      <c r="CP335" s="93">
        <f t="shared" si="260"/>
        <v>102.18978102189782</v>
      </c>
      <c r="CQ335" s="93">
        <f t="shared" si="261"/>
        <v>161.22994652406416</v>
      </c>
      <c r="CR335" s="93">
        <f t="shared" si="262"/>
        <v>272.44094488188978</v>
      </c>
      <c r="CS335" s="93">
        <f t="shared" si="263"/>
        <v>446.99646643109543</v>
      </c>
      <c r="CT335" s="93">
        <f t="shared" si="264"/>
        <v>706.94864048338366</v>
      </c>
      <c r="CU335" s="93">
        <f t="shared" si="265"/>
        <v>1015.686274509804</v>
      </c>
      <c r="CV335" s="93">
        <f t="shared" si="266"/>
        <v>1370.5882352941176</v>
      </c>
      <c r="CW335" s="93">
        <f t="shared" si="267"/>
        <v>1850.3937007874017</v>
      </c>
    </row>
    <row r="336" spans="1:101" s="98" customFormat="1">
      <c r="A336" s="3" t="s">
        <v>544</v>
      </c>
      <c r="B336" s="3" t="s">
        <v>268</v>
      </c>
      <c r="C336" s="3"/>
      <c r="D336" s="93">
        <v>6.1284999999999998</v>
      </c>
      <c r="E336" s="94">
        <v>0.1865</v>
      </c>
      <c r="F336" s="94">
        <v>2.3E-3</v>
      </c>
      <c r="G336" s="95">
        <v>13.37</v>
      </c>
      <c r="H336" s="96">
        <v>0.37</v>
      </c>
      <c r="I336" s="97">
        <v>0.52100000000000002</v>
      </c>
      <c r="J336" s="95">
        <v>1.2999999999999999E-2</v>
      </c>
      <c r="K336" s="96">
        <v>0.54912000000000005</v>
      </c>
      <c r="M336" s="99">
        <v>2703</v>
      </c>
      <c r="N336" s="98">
        <v>53</v>
      </c>
      <c r="O336" s="99">
        <v>2711</v>
      </c>
      <c r="P336" s="98">
        <v>15</v>
      </c>
      <c r="Q336" s="93">
        <v>0.3</v>
      </c>
      <c r="R336" s="97">
        <v>5.0000000000000001E-3</v>
      </c>
      <c r="T336" s="98">
        <v>220</v>
      </c>
      <c r="U336" s="98">
        <v>160</v>
      </c>
      <c r="V336" s="98" t="s">
        <v>250</v>
      </c>
      <c r="W336" s="98" t="s">
        <v>250</v>
      </c>
      <c r="X336" s="98" t="s">
        <v>250</v>
      </c>
      <c r="Y336" s="98" t="s">
        <v>250</v>
      </c>
      <c r="Z336" s="98">
        <v>1.18</v>
      </c>
      <c r="AA336" s="98">
        <v>0.67</v>
      </c>
      <c r="AB336" s="98">
        <v>0.48</v>
      </c>
      <c r="AC336" s="98">
        <v>0.27</v>
      </c>
      <c r="AD336" s="98">
        <v>495</v>
      </c>
      <c r="AE336" s="98">
        <v>51</v>
      </c>
      <c r="AF336" s="95">
        <v>0.02</v>
      </c>
      <c r="AG336" s="97">
        <v>1.2999999999999999E-2</v>
      </c>
      <c r="AH336" s="96">
        <v>6.2</v>
      </c>
      <c r="AI336" s="96">
        <v>1.1000000000000001</v>
      </c>
      <c r="AJ336" s="95">
        <v>9.5000000000000001E-2</v>
      </c>
      <c r="AK336" s="95">
        <v>3.5000000000000003E-2</v>
      </c>
      <c r="AL336" s="96">
        <v>1.62</v>
      </c>
      <c r="AM336" s="96">
        <v>0.62</v>
      </c>
      <c r="AN336" s="96">
        <v>3.57</v>
      </c>
      <c r="AO336" s="96">
        <v>0.96</v>
      </c>
      <c r="AP336" s="96">
        <v>0.92</v>
      </c>
      <c r="AQ336" s="96">
        <v>0.28000000000000003</v>
      </c>
      <c r="AR336" s="96">
        <v>12.8</v>
      </c>
      <c r="AS336" s="93">
        <v>2.2000000000000002</v>
      </c>
      <c r="AT336" s="96">
        <v>4.3</v>
      </c>
      <c r="AU336" s="96">
        <v>0.93</v>
      </c>
      <c r="AV336" s="99">
        <v>42.4</v>
      </c>
      <c r="AW336" s="98">
        <v>6</v>
      </c>
      <c r="AX336" s="98">
        <v>16</v>
      </c>
      <c r="AY336" s="98">
        <v>2.1</v>
      </c>
      <c r="AZ336" s="98">
        <v>80.3</v>
      </c>
      <c r="BA336" s="98">
        <v>8.6999999999999993</v>
      </c>
      <c r="BB336" s="98">
        <v>16.8</v>
      </c>
      <c r="BC336" s="98">
        <v>2.5</v>
      </c>
      <c r="BD336" s="98">
        <v>150</v>
      </c>
      <c r="BE336" s="98">
        <v>17</v>
      </c>
      <c r="BF336" s="98">
        <v>34.299999999999997</v>
      </c>
      <c r="BG336" s="98">
        <v>4.2</v>
      </c>
      <c r="BI336" s="93">
        <v>8.3000000000000007</v>
      </c>
      <c r="BJ336" s="98">
        <v>2.2999999999999998</v>
      </c>
      <c r="BK336" s="98">
        <v>517000</v>
      </c>
      <c r="BL336" s="98">
        <v>46000</v>
      </c>
      <c r="BM336" s="98">
        <v>8700</v>
      </c>
      <c r="BN336" s="98">
        <v>1400</v>
      </c>
      <c r="BO336" s="99">
        <v>24.5</v>
      </c>
      <c r="BP336" s="98">
        <v>1.9</v>
      </c>
      <c r="BQ336" s="99">
        <v>30.3</v>
      </c>
      <c r="BR336" s="98">
        <v>2.2999999999999998</v>
      </c>
      <c r="BT336" s="95">
        <f t="shared" si="247"/>
        <v>0.20200000000000001</v>
      </c>
      <c r="BU336" s="96">
        <f t="shared" si="248"/>
        <v>3.8271604938271602</v>
      </c>
      <c r="BV336" s="96">
        <f t="shared" si="249"/>
        <v>59.425287356321839</v>
      </c>
      <c r="BW336" s="96">
        <f t="shared" si="250"/>
        <v>0.8085808580858086</v>
      </c>
      <c r="BX336" s="99">
        <f t="shared" si="272"/>
        <v>34.873813648353838</v>
      </c>
      <c r="BY336" s="96">
        <f t="shared" si="251"/>
        <v>3.8271604938271602</v>
      </c>
      <c r="BZ336" s="97">
        <f t="shared" si="252"/>
        <v>7.7316373612669898E-3</v>
      </c>
      <c r="CA336" s="95">
        <f t="shared" si="275"/>
        <v>0.41607571620286271</v>
      </c>
      <c r="CB336" s="99">
        <f t="shared" si="243"/>
        <v>49.587089829040814</v>
      </c>
      <c r="CC336" s="99">
        <f t="shared" si="243"/>
        <v>3.7640365216763647</v>
      </c>
      <c r="CD336" s="100">
        <f t="shared" si="253"/>
        <v>755.35167316018544</v>
      </c>
      <c r="CE336" s="100">
        <f t="shared" si="268"/>
        <v>795.67999949672628</v>
      </c>
      <c r="CF336" s="100">
        <f t="shared" si="274"/>
        <v>31.241004320860341</v>
      </c>
      <c r="CG336" s="96">
        <f t="shared" si="271"/>
        <v>0.22582164765164059</v>
      </c>
      <c r="CH336" s="96">
        <f t="shared" si="246"/>
        <v>0.45367057544178963</v>
      </c>
      <c r="CJ336" s="95">
        <f t="shared" si="273"/>
        <v>8.4388185654008449E-2</v>
      </c>
      <c r="CK336" s="93">
        <f t="shared" si="255"/>
        <v>10.130718954248367</v>
      </c>
      <c r="CL336" s="93">
        <f t="shared" si="256"/>
        <v>1</v>
      </c>
      <c r="CM336" s="93">
        <f t="shared" si="257"/>
        <v>3.4689507494646681</v>
      </c>
      <c r="CN336" s="93">
        <f t="shared" si="258"/>
        <v>23.333333333333332</v>
      </c>
      <c r="CO336" s="93">
        <f t="shared" si="259"/>
        <v>15.862068965517242</v>
      </c>
      <c r="CP336" s="93">
        <f t="shared" si="260"/>
        <v>62.287104622871055</v>
      </c>
      <c r="CQ336" s="93">
        <f t="shared" si="261"/>
        <v>114.97326203208554</v>
      </c>
      <c r="CR336" s="93">
        <f t="shared" si="262"/>
        <v>166.9291338582677</v>
      </c>
      <c r="CS336" s="93">
        <f t="shared" si="263"/>
        <v>282.68551236749119</v>
      </c>
      <c r="CT336" s="93">
        <f t="shared" si="264"/>
        <v>485.19637462235647</v>
      </c>
      <c r="CU336" s="93">
        <f t="shared" si="265"/>
        <v>658.82352941176475</v>
      </c>
      <c r="CV336" s="93">
        <f t="shared" si="266"/>
        <v>882.35294117647049</v>
      </c>
      <c r="CW336" s="93">
        <f t="shared" si="267"/>
        <v>1350.3937007874015</v>
      </c>
    </row>
    <row r="337" spans="1:101" s="98" customFormat="1">
      <c r="A337" s="3" t="s">
        <v>545</v>
      </c>
      <c r="B337" s="3" t="s">
        <v>268</v>
      </c>
      <c r="C337" s="3"/>
      <c r="D337" s="93">
        <v>5.8825000000000003</v>
      </c>
      <c r="E337" s="94">
        <v>0.1865</v>
      </c>
      <c r="F337" s="94">
        <v>2.5000000000000001E-3</v>
      </c>
      <c r="G337" s="95">
        <v>13.42</v>
      </c>
      <c r="H337" s="96">
        <v>0.38</v>
      </c>
      <c r="I337" s="97">
        <v>0.52280000000000004</v>
      </c>
      <c r="J337" s="95">
        <v>1.2E-2</v>
      </c>
      <c r="K337" s="96">
        <v>0.40884999999999999</v>
      </c>
      <c r="M337" s="99">
        <v>2711</v>
      </c>
      <c r="N337" s="98">
        <v>50</v>
      </c>
      <c r="O337" s="99">
        <v>2710</v>
      </c>
      <c r="P337" s="98">
        <v>17</v>
      </c>
      <c r="Q337" s="93">
        <v>-0.1</v>
      </c>
      <c r="R337" s="97">
        <v>3.3E-3</v>
      </c>
      <c r="T337" s="98">
        <v>400</v>
      </c>
      <c r="U337" s="98">
        <v>250</v>
      </c>
      <c r="V337" s="98">
        <v>0.27</v>
      </c>
      <c r="W337" s="98">
        <v>0.7</v>
      </c>
      <c r="X337" s="98" t="s">
        <v>250</v>
      </c>
      <c r="Y337" s="98" t="s">
        <v>250</v>
      </c>
      <c r="Z337" s="98">
        <v>1.68</v>
      </c>
      <c r="AA337" s="98">
        <v>0.79</v>
      </c>
      <c r="AB337" s="98">
        <v>0.59</v>
      </c>
      <c r="AC337" s="98">
        <v>0.38</v>
      </c>
      <c r="AD337" s="98">
        <v>575</v>
      </c>
      <c r="AE337" s="98">
        <v>58</v>
      </c>
      <c r="AF337" s="95">
        <v>3.2000000000000001E-2</v>
      </c>
      <c r="AG337" s="97">
        <v>0.02</v>
      </c>
      <c r="AH337" s="96">
        <v>6.1</v>
      </c>
      <c r="AI337" s="96">
        <v>1.6</v>
      </c>
      <c r="AJ337" s="95">
        <v>6.0999999999999999E-2</v>
      </c>
      <c r="AK337" s="95">
        <v>2.3E-2</v>
      </c>
      <c r="AL337" s="96">
        <v>1.1399999999999999</v>
      </c>
      <c r="AM337" s="96">
        <v>0.57999999999999996</v>
      </c>
      <c r="AN337" s="96">
        <v>2.6</v>
      </c>
      <c r="AO337" s="96">
        <v>1.4</v>
      </c>
      <c r="AP337" s="96">
        <v>0.48</v>
      </c>
      <c r="AQ337" s="96">
        <v>0.18</v>
      </c>
      <c r="AR337" s="96">
        <v>11</v>
      </c>
      <c r="AS337" s="93">
        <v>3.1</v>
      </c>
      <c r="AT337" s="96">
        <v>4.12</v>
      </c>
      <c r="AU337" s="96">
        <v>0.52</v>
      </c>
      <c r="AV337" s="99">
        <v>48.4</v>
      </c>
      <c r="AW337" s="98">
        <v>6.3</v>
      </c>
      <c r="AX337" s="98">
        <v>17.399999999999999</v>
      </c>
      <c r="AY337" s="98">
        <v>2.4</v>
      </c>
      <c r="AZ337" s="98">
        <v>93</v>
      </c>
      <c r="BA337" s="98">
        <v>15</v>
      </c>
      <c r="BB337" s="98">
        <v>17.7</v>
      </c>
      <c r="BC337" s="98">
        <v>2.2999999999999998</v>
      </c>
      <c r="BD337" s="98">
        <v>160</v>
      </c>
      <c r="BE337" s="98">
        <v>17</v>
      </c>
      <c r="BF337" s="98">
        <v>33.1</v>
      </c>
      <c r="BG337" s="98">
        <v>4.5</v>
      </c>
      <c r="BI337" s="93">
        <v>9.8000000000000007</v>
      </c>
      <c r="BJ337" s="98">
        <v>3</v>
      </c>
      <c r="BK337" s="98">
        <v>523000</v>
      </c>
      <c r="BL337" s="98">
        <v>73000</v>
      </c>
      <c r="BM337" s="98">
        <v>9100</v>
      </c>
      <c r="BN337" s="98">
        <v>1000</v>
      </c>
      <c r="BO337" s="99">
        <v>14.9</v>
      </c>
      <c r="BP337" s="98">
        <v>1.5</v>
      </c>
      <c r="BQ337" s="99">
        <v>28.1</v>
      </c>
      <c r="BR337" s="98">
        <v>2.7</v>
      </c>
      <c r="BT337" s="95">
        <f t="shared" si="247"/>
        <v>0.175625</v>
      </c>
      <c r="BU337" s="96">
        <f t="shared" si="248"/>
        <v>5.3508771929824563</v>
      </c>
      <c r="BV337" s="96">
        <f t="shared" si="249"/>
        <v>57.472527472527474</v>
      </c>
      <c r="BW337" s="96">
        <f t="shared" si="250"/>
        <v>0.53024911032028466</v>
      </c>
      <c r="BX337" s="99">
        <f t="shared" si="272"/>
        <v>33.851232202102572</v>
      </c>
      <c r="BY337" s="96">
        <f t="shared" si="251"/>
        <v>5.3508771929824563</v>
      </c>
      <c r="BZ337" s="97">
        <f t="shared" si="252"/>
        <v>9.3058733790999243E-3</v>
      </c>
      <c r="CA337" s="95">
        <f t="shared" si="275"/>
        <v>0.27439857758412617</v>
      </c>
      <c r="CB337" s="99">
        <f t="shared" si="243"/>
        <v>45.986707069176461</v>
      </c>
      <c r="CC337" s="99">
        <f t="shared" si="243"/>
        <v>4.418651568924429</v>
      </c>
      <c r="CD337" s="100">
        <f t="shared" si="253"/>
        <v>771.5011798399297</v>
      </c>
      <c r="CE337" s="100">
        <f t="shared" si="268"/>
        <v>813.13154912645393</v>
      </c>
      <c r="CF337" s="100">
        <f t="shared" si="274"/>
        <v>35.084522010552554</v>
      </c>
      <c r="CG337" s="96">
        <f t="shared" si="271"/>
        <v>0.1190185571817719</v>
      </c>
      <c r="CH337" s="96">
        <f t="shared" si="246"/>
        <v>0.61833363921955031</v>
      </c>
      <c r="CJ337" s="95">
        <f t="shared" si="273"/>
        <v>0.13502109704641352</v>
      </c>
      <c r="CK337" s="93">
        <f t="shared" si="255"/>
        <v>9.9673202614379086</v>
      </c>
      <c r="CL337" s="93">
        <f t="shared" si="256"/>
        <v>0.64210526315789473</v>
      </c>
      <c r="CM337" s="93">
        <f t="shared" si="257"/>
        <v>2.4411134903640255</v>
      </c>
      <c r="CN337" s="93">
        <f t="shared" si="258"/>
        <v>16.993464052287582</v>
      </c>
      <c r="CO337" s="93">
        <f t="shared" si="259"/>
        <v>8.275862068965516</v>
      </c>
      <c r="CP337" s="93">
        <f t="shared" si="260"/>
        <v>53.527980535279809</v>
      </c>
      <c r="CQ337" s="93">
        <f t="shared" si="261"/>
        <v>110.16042780748663</v>
      </c>
      <c r="CR337" s="93">
        <f t="shared" si="262"/>
        <v>190.55118110236219</v>
      </c>
      <c r="CS337" s="93">
        <f t="shared" si="263"/>
        <v>307.42049469964661</v>
      </c>
      <c r="CT337" s="93">
        <f t="shared" si="264"/>
        <v>561.93353474320236</v>
      </c>
      <c r="CU337" s="93">
        <f t="shared" si="265"/>
        <v>694.11764705882354</v>
      </c>
      <c r="CV337" s="93">
        <f t="shared" si="266"/>
        <v>941.17647058823525</v>
      </c>
      <c r="CW337" s="93">
        <f t="shared" si="267"/>
        <v>1303.1496062992128</v>
      </c>
    </row>
    <row r="338" spans="1:101" s="98" customFormat="1">
      <c r="A338" s="3" t="s">
        <v>546</v>
      </c>
      <c r="B338" s="3" t="s">
        <v>268</v>
      </c>
      <c r="C338" s="3"/>
      <c r="D338" s="93">
        <v>5.3997000000000002</v>
      </c>
      <c r="E338" s="94">
        <v>0.19159999999999999</v>
      </c>
      <c r="F338" s="94">
        <v>3.5000000000000001E-3</v>
      </c>
      <c r="G338" s="95">
        <v>13.78</v>
      </c>
      <c r="H338" s="96">
        <v>0.44</v>
      </c>
      <c r="I338" s="97">
        <v>0.52249999999999996</v>
      </c>
      <c r="J338" s="95">
        <v>1.2E-2</v>
      </c>
      <c r="K338" s="96">
        <v>0.45823999999999998</v>
      </c>
      <c r="M338" s="99">
        <v>2710</v>
      </c>
      <c r="N338" s="98">
        <v>52</v>
      </c>
      <c r="O338" s="99">
        <v>2756</v>
      </c>
      <c r="P338" s="98">
        <v>11</v>
      </c>
      <c r="Q338" s="93">
        <v>1.67</v>
      </c>
      <c r="R338" s="97">
        <v>5.7000000000000002E-3</v>
      </c>
      <c r="T338" s="98">
        <v>520</v>
      </c>
      <c r="U338" s="98">
        <v>270</v>
      </c>
      <c r="V338" s="98">
        <v>0.17</v>
      </c>
      <c r="W338" s="98">
        <v>0.81</v>
      </c>
      <c r="X338" s="98">
        <v>0.06</v>
      </c>
      <c r="Y338" s="98">
        <v>0.13</v>
      </c>
      <c r="Z338" s="98">
        <v>1.52</v>
      </c>
      <c r="AA338" s="98">
        <v>0.8</v>
      </c>
      <c r="AB338" s="98">
        <v>0.46</v>
      </c>
      <c r="AC338" s="98">
        <v>0.39</v>
      </c>
      <c r="AD338" s="98">
        <v>539</v>
      </c>
      <c r="AE338" s="98">
        <v>54</v>
      </c>
      <c r="AF338" s="95" t="s">
        <v>250</v>
      </c>
      <c r="AG338" s="97" t="s">
        <v>250</v>
      </c>
      <c r="AH338" s="96">
        <v>5</v>
      </c>
      <c r="AI338" s="96">
        <v>0.69</v>
      </c>
      <c r="AJ338" s="95">
        <v>1.9E-2</v>
      </c>
      <c r="AK338" s="95">
        <v>2.1000000000000001E-2</v>
      </c>
      <c r="AL338" s="96">
        <v>0.9</v>
      </c>
      <c r="AM338" s="96">
        <v>0.63</v>
      </c>
      <c r="AN338" s="96">
        <v>1.99</v>
      </c>
      <c r="AO338" s="96">
        <v>0.73</v>
      </c>
      <c r="AP338" s="96">
        <v>0.82</v>
      </c>
      <c r="AQ338" s="96">
        <v>0.23</v>
      </c>
      <c r="AR338" s="96">
        <v>11</v>
      </c>
      <c r="AS338" s="93">
        <v>3.2</v>
      </c>
      <c r="AT338" s="96">
        <v>3.61</v>
      </c>
      <c r="AU338" s="96">
        <v>0.73</v>
      </c>
      <c r="AV338" s="99">
        <v>51</v>
      </c>
      <c r="AW338" s="98">
        <v>7.9</v>
      </c>
      <c r="AX338" s="98">
        <v>17.3</v>
      </c>
      <c r="AY338" s="98">
        <v>2.2999999999999998</v>
      </c>
      <c r="AZ338" s="98">
        <v>84</v>
      </c>
      <c r="BA338" s="98">
        <v>12</v>
      </c>
      <c r="BB338" s="98">
        <v>17.5</v>
      </c>
      <c r="BC338" s="98">
        <v>2.7</v>
      </c>
      <c r="BD338" s="98">
        <v>146</v>
      </c>
      <c r="BE338" s="98">
        <v>15</v>
      </c>
      <c r="BF338" s="98">
        <v>28.3</v>
      </c>
      <c r="BG338" s="98">
        <v>4.0999999999999996</v>
      </c>
      <c r="BI338" s="93">
        <v>6.9</v>
      </c>
      <c r="BJ338" s="98">
        <v>3.2</v>
      </c>
      <c r="BK338" s="98">
        <v>505000</v>
      </c>
      <c r="BL338" s="98">
        <v>53000</v>
      </c>
      <c r="BM338" s="98">
        <v>9600</v>
      </c>
      <c r="BN338" s="98">
        <v>1500</v>
      </c>
      <c r="BO338" s="99">
        <v>13.7</v>
      </c>
      <c r="BP338" s="98">
        <v>1.1000000000000001</v>
      </c>
      <c r="BQ338" s="99">
        <v>22.8</v>
      </c>
      <c r="BR338" s="98">
        <v>1.8</v>
      </c>
      <c r="BT338" s="95">
        <f t="shared" si="247"/>
        <v>0.15616438356164383</v>
      </c>
      <c r="BU338" s="96">
        <f t="shared" si="248"/>
        <v>5.5555555555555554</v>
      </c>
      <c r="BV338" s="96">
        <f t="shared" si="249"/>
        <v>52.604166666666664</v>
      </c>
      <c r="BW338" s="96">
        <f t="shared" si="250"/>
        <v>0.60087719298245612</v>
      </c>
      <c r="BX338" s="99"/>
      <c r="BY338" s="96">
        <f t="shared" si="251"/>
        <v>5.5555555555555554</v>
      </c>
      <c r="BZ338" s="97">
        <f t="shared" si="252"/>
        <v>1.0307153164296021E-2</v>
      </c>
      <c r="CA338" s="95">
        <f t="shared" si="275"/>
        <v>0.53581467817326422</v>
      </c>
      <c r="CB338" s="99">
        <f t="shared" si="243"/>
        <v>37.313057693139619</v>
      </c>
      <c r="CC338" s="99">
        <f t="shared" si="243"/>
        <v>2.945767712616286</v>
      </c>
      <c r="CD338" s="100">
        <f t="shared" si="253"/>
        <v>737.96975311523488</v>
      </c>
      <c r="CE338" s="100">
        <f t="shared" si="268"/>
        <v>776.92066991387981</v>
      </c>
      <c r="CF338" s="100">
        <f t="shared" si="274"/>
        <v>48.264469326579786</v>
      </c>
      <c r="CG338" s="96">
        <f t="shared" si="271"/>
        <v>0.25952400621995908</v>
      </c>
      <c r="CH338" s="96">
        <f t="shared" si="246"/>
        <v>0.5449765368448618</v>
      </c>
      <c r="CJ338" s="95"/>
      <c r="CK338" s="93">
        <f t="shared" si="255"/>
        <v>8.1699346405228752</v>
      </c>
      <c r="CL338" s="93">
        <f t="shared" si="256"/>
        <v>0.19999999999999998</v>
      </c>
      <c r="CM338" s="93">
        <f t="shared" si="257"/>
        <v>1.9271948608137044</v>
      </c>
      <c r="CN338" s="93">
        <f t="shared" si="258"/>
        <v>13.006535947712418</v>
      </c>
      <c r="CO338" s="93">
        <f t="shared" si="259"/>
        <v>14.137931034482756</v>
      </c>
      <c r="CP338" s="93">
        <f t="shared" si="260"/>
        <v>53.527980535279809</v>
      </c>
      <c r="CQ338" s="93">
        <f t="shared" si="261"/>
        <v>96.524064171122987</v>
      </c>
      <c r="CR338" s="93">
        <f t="shared" si="262"/>
        <v>200.78740157480314</v>
      </c>
      <c r="CS338" s="93">
        <f t="shared" si="263"/>
        <v>305.65371024734986</v>
      </c>
      <c r="CT338" s="93">
        <f t="shared" si="264"/>
        <v>507.55287009063443</v>
      </c>
      <c r="CU338" s="93">
        <f t="shared" si="265"/>
        <v>686.27450980392166</v>
      </c>
      <c r="CV338" s="93">
        <f t="shared" si="266"/>
        <v>858.82352941176464</v>
      </c>
      <c r="CW338" s="93">
        <f t="shared" si="267"/>
        <v>1114.1732283464567</v>
      </c>
    </row>
    <row r="339" spans="1:101" s="98" customFormat="1">
      <c r="A339" s="3" t="s">
        <v>547</v>
      </c>
      <c r="B339" s="3" t="s">
        <v>268</v>
      </c>
      <c r="C339" s="3"/>
      <c r="D339" s="93">
        <v>6.0058999999999996</v>
      </c>
      <c r="E339" s="94">
        <v>0.18970000000000001</v>
      </c>
      <c r="F339" s="94">
        <v>3.8E-3</v>
      </c>
      <c r="G339" s="95">
        <v>13.78</v>
      </c>
      <c r="H339" s="96">
        <v>0.51</v>
      </c>
      <c r="I339" s="97">
        <v>0.52739999999999998</v>
      </c>
      <c r="J339" s="95">
        <v>1.4E-2</v>
      </c>
      <c r="K339" s="96">
        <v>0.73985999999999996</v>
      </c>
      <c r="M339" s="99">
        <v>2730</v>
      </c>
      <c r="N339" s="98">
        <v>58</v>
      </c>
      <c r="O339" s="99">
        <v>2737</v>
      </c>
      <c r="P339" s="98">
        <v>30</v>
      </c>
      <c r="Q339" s="93">
        <v>0.2</v>
      </c>
      <c r="R339" s="97">
        <v>4.8999999999999998E-3</v>
      </c>
      <c r="T339" s="98">
        <v>280</v>
      </c>
      <c r="U339" s="98">
        <v>100</v>
      </c>
      <c r="V339" s="98">
        <v>0.6</v>
      </c>
      <c r="W339" s="98">
        <v>1.3</v>
      </c>
      <c r="X339" s="98">
        <v>0.15</v>
      </c>
      <c r="Y339" s="98">
        <v>0.16</v>
      </c>
      <c r="Z339" s="98">
        <v>0.94</v>
      </c>
      <c r="AA339" s="98">
        <v>0.44</v>
      </c>
      <c r="AB339" s="98">
        <v>0.23</v>
      </c>
      <c r="AC339" s="98">
        <v>0.2</v>
      </c>
      <c r="AD339" s="98">
        <v>910</v>
      </c>
      <c r="AE339" s="98">
        <v>150</v>
      </c>
      <c r="AF339" s="95">
        <v>6.7000000000000002E-3</v>
      </c>
      <c r="AG339" s="97">
        <v>7.6E-3</v>
      </c>
      <c r="AH339" s="96">
        <v>6.9</v>
      </c>
      <c r="AI339" s="96">
        <v>1.4</v>
      </c>
      <c r="AJ339" s="95">
        <v>0.129</v>
      </c>
      <c r="AK339" s="95">
        <v>7.8E-2</v>
      </c>
      <c r="AL339" s="96">
        <v>1.49</v>
      </c>
      <c r="AM339" s="96">
        <v>0.81</v>
      </c>
      <c r="AN339" s="96">
        <v>5.3</v>
      </c>
      <c r="AO339" s="96">
        <v>1.6</v>
      </c>
      <c r="AP339" s="96">
        <v>1.46</v>
      </c>
      <c r="AQ339" s="96">
        <v>0.25</v>
      </c>
      <c r="AR339" s="96">
        <v>26.11</v>
      </c>
      <c r="AS339" s="93">
        <v>0.88</v>
      </c>
      <c r="AT339" s="96">
        <v>8.6</v>
      </c>
      <c r="AU339" s="96">
        <v>1.3</v>
      </c>
      <c r="AV339" s="99">
        <v>90</v>
      </c>
      <c r="AW339" s="98">
        <v>11</v>
      </c>
      <c r="AX339" s="98">
        <v>29.1</v>
      </c>
      <c r="AY339" s="98">
        <v>4.4000000000000004</v>
      </c>
      <c r="AZ339" s="98">
        <v>128</v>
      </c>
      <c r="BA339" s="98">
        <v>13</v>
      </c>
      <c r="BB339" s="98">
        <v>24.9</v>
      </c>
      <c r="BC339" s="98">
        <v>3.6</v>
      </c>
      <c r="BD339" s="98">
        <v>194</v>
      </c>
      <c r="BE339" s="98">
        <v>26</v>
      </c>
      <c r="BF339" s="98">
        <v>39.4</v>
      </c>
      <c r="BG339" s="98">
        <v>5.8</v>
      </c>
      <c r="BI339" s="93">
        <v>10.7</v>
      </c>
      <c r="BJ339" s="98">
        <v>3.1</v>
      </c>
      <c r="BK339" s="98">
        <v>517000</v>
      </c>
      <c r="BL339" s="98">
        <v>64000</v>
      </c>
      <c r="BM339" s="98">
        <v>9100</v>
      </c>
      <c r="BN339" s="98">
        <v>650</v>
      </c>
      <c r="BO339" s="99">
        <v>29.9</v>
      </c>
      <c r="BP339" s="98">
        <v>9.6999999999999993</v>
      </c>
      <c r="BQ339" s="99">
        <v>35.4</v>
      </c>
      <c r="BR339" s="98">
        <v>9.4</v>
      </c>
      <c r="BT339" s="95">
        <f t="shared" si="247"/>
        <v>0.1824742268041237</v>
      </c>
      <c r="BU339" s="96">
        <f t="shared" si="248"/>
        <v>4.6308724832214772</v>
      </c>
      <c r="BV339" s="96">
        <f t="shared" si="249"/>
        <v>56.81318681318681</v>
      </c>
      <c r="BW339" s="96">
        <f t="shared" si="250"/>
        <v>0.84463276836158196</v>
      </c>
      <c r="BX339" s="99">
        <f>CK339/SQRT(CJ339*CL339)</f>
        <v>57.54417760962923</v>
      </c>
      <c r="BY339" s="96">
        <f t="shared" si="251"/>
        <v>4.6308724832214772</v>
      </c>
      <c r="BZ339" s="97">
        <f t="shared" si="252"/>
        <v>5.0888708606829421E-3</v>
      </c>
      <c r="CA339" s="95">
        <f t="shared" si="275"/>
        <v>0.37943301784326361</v>
      </c>
      <c r="CB339" s="99">
        <f t="shared" si="243"/>
        <v>57.933431681453619</v>
      </c>
      <c r="CC339" s="99">
        <f t="shared" si="243"/>
        <v>15.383453610329493</v>
      </c>
      <c r="CD339" s="100">
        <f t="shared" si="253"/>
        <v>780.24910824427877</v>
      </c>
      <c r="CE339" s="100">
        <f t="shared" si="268"/>
        <v>822.59375475080071</v>
      </c>
      <c r="CF339" s="100">
        <f t="shared" si="274"/>
        <v>33.955520706468931</v>
      </c>
      <c r="CG339" s="96">
        <f t="shared" si="271"/>
        <v>5.6343372524182644E-2</v>
      </c>
      <c r="CH339" s="96">
        <f t="shared" si="246"/>
        <v>0.71022248989996561</v>
      </c>
      <c r="CJ339" s="95">
        <f>AF339/CJ$4</f>
        <v>2.8270042194092831E-2</v>
      </c>
      <c r="CK339" s="93">
        <f t="shared" si="255"/>
        <v>11.274509803921569</v>
      </c>
      <c r="CL339" s="93">
        <f t="shared" si="256"/>
        <v>1.3578947368421053</v>
      </c>
      <c r="CM339" s="93">
        <f t="shared" si="257"/>
        <v>3.1905781584582438</v>
      </c>
      <c r="CN339" s="93">
        <f t="shared" si="258"/>
        <v>34.640522875816991</v>
      </c>
      <c r="CO339" s="93">
        <f t="shared" si="259"/>
        <v>25.172413793103445</v>
      </c>
      <c r="CP339" s="93">
        <f t="shared" si="260"/>
        <v>127.05596107055962</v>
      </c>
      <c r="CQ339" s="93">
        <f t="shared" si="261"/>
        <v>229.94652406417109</v>
      </c>
      <c r="CR339" s="93">
        <f t="shared" si="262"/>
        <v>354.3307086614173</v>
      </c>
      <c r="CS339" s="93">
        <f t="shared" si="263"/>
        <v>514.13427561837466</v>
      </c>
      <c r="CT339" s="93">
        <f t="shared" si="264"/>
        <v>773.41389728096669</v>
      </c>
      <c r="CU339" s="93">
        <f t="shared" si="265"/>
        <v>976.47058823529414</v>
      </c>
      <c r="CV339" s="93">
        <f t="shared" si="266"/>
        <v>1141.1764705882351</v>
      </c>
      <c r="CW339" s="93">
        <f t="shared" si="267"/>
        <v>1551.1811023622047</v>
      </c>
    </row>
    <row r="340" spans="1:101" s="98" customFormat="1">
      <c r="A340" s="3" t="s">
        <v>548</v>
      </c>
      <c r="B340" s="3" t="s">
        <v>268</v>
      </c>
      <c r="C340" s="3"/>
      <c r="D340" s="93">
        <v>5.9196999999999997</v>
      </c>
      <c r="E340" s="94">
        <v>0.18629999999999999</v>
      </c>
      <c r="F340" s="94">
        <v>2.3999999999999998E-3</v>
      </c>
      <c r="G340" s="95">
        <v>14.54</v>
      </c>
      <c r="H340" s="96">
        <v>0.5</v>
      </c>
      <c r="I340" s="97">
        <v>0.56679999999999997</v>
      </c>
      <c r="J340" s="95">
        <v>1.4999999999999999E-2</v>
      </c>
      <c r="K340" s="96">
        <v>0.88934000000000002</v>
      </c>
      <c r="M340" s="99">
        <v>2894</v>
      </c>
      <c r="N340" s="98">
        <v>62</v>
      </c>
      <c r="O340" s="99">
        <v>2709</v>
      </c>
      <c r="P340" s="98">
        <v>17</v>
      </c>
      <c r="Q340" s="93">
        <v>-6.8</v>
      </c>
      <c r="R340" s="97">
        <v>0</v>
      </c>
      <c r="T340" s="98">
        <v>550</v>
      </c>
      <c r="U340" s="98">
        <v>230</v>
      </c>
      <c r="V340" s="98" t="s">
        <v>250</v>
      </c>
      <c r="W340" s="98" t="s">
        <v>250</v>
      </c>
      <c r="X340" s="98">
        <v>0.16</v>
      </c>
      <c r="Y340" s="98">
        <v>0.17</v>
      </c>
      <c r="Z340" s="98">
        <v>1.71</v>
      </c>
      <c r="AA340" s="98">
        <v>0.6</v>
      </c>
      <c r="AB340" s="98">
        <v>0.65</v>
      </c>
      <c r="AC340" s="98">
        <v>0.44</v>
      </c>
      <c r="AD340" s="98">
        <v>1030</v>
      </c>
      <c r="AE340" s="98">
        <v>110</v>
      </c>
      <c r="AF340" s="95">
        <v>6.5000000000000002E-2</v>
      </c>
      <c r="AG340" s="97">
        <v>2.9000000000000001E-2</v>
      </c>
      <c r="AH340" s="96">
        <v>8.5</v>
      </c>
      <c r="AI340" s="96">
        <v>1.4</v>
      </c>
      <c r="AJ340" s="95">
        <v>0.21299999999999999</v>
      </c>
      <c r="AK340" s="95">
        <v>8.8999999999999996E-2</v>
      </c>
      <c r="AL340" s="96">
        <v>3.07</v>
      </c>
      <c r="AM340" s="96">
        <v>0.77</v>
      </c>
      <c r="AN340" s="96">
        <v>5.14</v>
      </c>
      <c r="AO340" s="96">
        <v>0.93</v>
      </c>
      <c r="AP340" s="96">
        <v>1.39</v>
      </c>
      <c r="AQ340" s="96">
        <v>0.34</v>
      </c>
      <c r="AR340" s="96">
        <v>29.4</v>
      </c>
      <c r="AS340" s="93">
        <v>5.8</v>
      </c>
      <c r="AT340" s="96">
        <v>9.4</v>
      </c>
      <c r="AU340" s="96">
        <v>1.2</v>
      </c>
      <c r="AV340" s="99">
        <v>104.9</v>
      </c>
      <c r="AW340" s="98">
        <v>9.8000000000000007</v>
      </c>
      <c r="AX340" s="98">
        <v>34.799999999999997</v>
      </c>
      <c r="AY340" s="98">
        <v>3.2</v>
      </c>
      <c r="AZ340" s="98">
        <v>146</v>
      </c>
      <c r="BA340" s="98">
        <v>15</v>
      </c>
      <c r="BB340" s="98">
        <v>30.4</v>
      </c>
      <c r="BC340" s="98">
        <v>3.1</v>
      </c>
      <c r="BD340" s="98">
        <v>248</v>
      </c>
      <c r="BE340" s="98">
        <v>24</v>
      </c>
      <c r="BF340" s="98">
        <v>49.1</v>
      </c>
      <c r="BG340" s="98">
        <v>2.6</v>
      </c>
      <c r="BI340" s="93">
        <v>9.1</v>
      </c>
      <c r="BJ340" s="98">
        <v>3</v>
      </c>
      <c r="BK340" s="98">
        <v>528000</v>
      </c>
      <c r="BL340" s="98">
        <v>36000</v>
      </c>
      <c r="BM340" s="98">
        <v>9840</v>
      </c>
      <c r="BN340" s="98">
        <v>890</v>
      </c>
      <c r="BO340" s="99">
        <v>33.1</v>
      </c>
      <c r="BP340" s="98">
        <v>6.5</v>
      </c>
      <c r="BQ340" s="99">
        <v>46.6</v>
      </c>
      <c r="BR340" s="98">
        <v>7.1</v>
      </c>
      <c r="BT340" s="95">
        <f t="shared" si="247"/>
        <v>0.18790322580645161</v>
      </c>
      <c r="BU340" s="96">
        <f t="shared" si="248"/>
        <v>2.7687296416938114</v>
      </c>
      <c r="BV340" s="96">
        <f t="shared" si="249"/>
        <v>53.658536585365852</v>
      </c>
      <c r="BW340" s="96">
        <f t="shared" si="250"/>
        <v>0.71030042918454939</v>
      </c>
      <c r="BX340" s="99">
        <f>CK340/SQRT(CJ340*CL340)</f>
        <v>17.711567523673153</v>
      </c>
      <c r="BY340" s="96">
        <f t="shared" si="251"/>
        <v>2.7687296416938114</v>
      </c>
      <c r="BZ340" s="97">
        <f t="shared" si="252"/>
        <v>2.6880870307706907E-3</v>
      </c>
      <c r="CA340" s="95">
        <f t="shared" si="275"/>
        <v>0.34568712962436388</v>
      </c>
      <c r="CB340" s="99">
        <f t="shared" si="243"/>
        <v>76.262653004399397</v>
      </c>
      <c r="CC340" s="99">
        <f t="shared" si="243"/>
        <v>11.619417088653126</v>
      </c>
      <c r="CD340" s="100">
        <f t="shared" si="253"/>
        <v>764.23478194375446</v>
      </c>
      <c r="CE340" s="100">
        <f t="shared" si="268"/>
        <v>805.27664271064339</v>
      </c>
      <c r="CF340" s="100">
        <f t="shared" si="274"/>
        <v>36.988379437253386</v>
      </c>
      <c r="CG340" s="96">
        <f t="shared" si="271"/>
        <v>0.31988167682886992</v>
      </c>
      <c r="CH340" s="96">
        <f t="shared" si="246"/>
        <v>0.54078643883679078</v>
      </c>
      <c r="CJ340" s="95">
        <f>AF340/CJ$4</f>
        <v>0.27426160337552746</v>
      </c>
      <c r="CK340" s="93">
        <f t="shared" si="255"/>
        <v>13.888888888888889</v>
      </c>
      <c r="CL340" s="93">
        <f t="shared" si="256"/>
        <v>2.2421052631578946</v>
      </c>
      <c r="CM340" s="93">
        <f t="shared" si="257"/>
        <v>6.5738758029978577</v>
      </c>
      <c r="CN340" s="93">
        <f t="shared" si="258"/>
        <v>33.594771241830067</v>
      </c>
      <c r="CO340" s="93">
        <f t="shared" si="259"/>
        <v>23.965517241379306</v>
      </c>
      <c r="CP340" s="93">
        <f t="shared" si="260"/>
        <v>143.06569343065695</v>
      </c>
      <c r="CQ340" s="93">
        <f t="shared" si="261"/>
        <v>251.3368983957219</v>
      </c>
      <c r="CR340" s="93">
        <f t="shared" si="262"/>
        <v>412.99212598425197</v>
      </c>
      <c r="CS340" s="93">
        <f t="shared" si="263"/>
        <v>614.84098939929322</v>
      </c>
      <c r="CT340" s="93">
        <f t="shared" si="264"/>
        <v>882.17522658610267</v>
      </c>
      <c r="CU340" s="93">
        <f t="shared" si="265"/>
        <v>1192.1568627450981</v>
      </c>
      <c r="CV340" s="93">
        <f t="shared" si="266"/>
        <v>1458.8235294117646</v>
      </c>
      <c r="CW340" s="93">
        <f t="shared" si="267"/>
        <v>1933.0708661417325</v>
      </c>
    </row>
    <row r="341" spans="1:101" s="107" customFormat="1">
      <c r="A341" s="101" t="s">
        <v>281</v>
      </c>
      <c r="B341" s="101"/>
      <c r="C341" s="101"/>
      <c r="D341" s="102"/>
      <c r="E341" s="103"/>
      <c r="F341" s="103"/>
      <c r="G341" s="104"/>
      <c r="H341" s="105"/>
      <c r="I341" s="106"/>
      <c r="J341" s="104"/>
      <c r="K341" s="105"/>
      <c r="M341" s="108"/>
      <c r="O341" s="108"/>
      <c r="R341" s="106"/>
      <c r="AF341" s="104"/>
      <c r="AG341" s="106"/>
      <c r="AH341" s="105"/>
      <c r="AI341" s="105"/>
      <c r="AJ341" s="104"/>
      <c r="AK341" s="104"/>
      <c r="AL341" s="105"/>
      <c r="AM341" s="105"/>
      <c r="AN341" s="105"/>
      <c r="AO341" s="105"/>
      <c r="AP341" s="105"/>
      <c r="AQ341" s="105"/>
      <c r="AR341" s="105"/>
      <c r="AS341" s="102"/>
      <c r="AT341" s="105"/>
      <c r="AU341" s="105"/>
      <c r="AV341" s="108"/>
      <c r="BI341" s="102"/>
      <c r="BO341" s="108"/>
      <c r="BQ341" s="108"/>
      <c r="BX341" s="108">
        <f>AVERAGE(BX312:BX340)</f>
        <v>65.722998879321295</v>
      </c>
      <c r="CA341" s="104">
        <f>AVERAGE(CA312:CA340)</f>
        <v>0.3596923261702884</v>
      </c>
      <c r="CB341" s="108"/>
      <c r="CC341" s="108"/>
      <c r="CD341" s="109">
        <f>AVERAGE(CD312:CD340)</f>
        <v>768.67134405443721</v>
      </c>
      <c r="CE341" s="109">
        <f>AVERAGE(CE312:CE340)</f>
        <v>810.09756911305215</v>
      </c>
      <c r="CF341" s="109">
        <f>AVERAGE(CF312:CF340)</f>
        <v>38.739803891318374</v>
      </c>
      <c r="CG341" s="105">
        <f>AVERAGE(CG312:CG340)</f>
        <v>0.16083478174142779</v>
      </c>
      <c r="CH341" s="105">
        <f>AVERAGE(CH312:CH340)</f>
        <v>0.53043047802153065</v>
      </c>
    </row>
    <row r="342" spans="1:101" s="107" customFormat="1">
      <c r="A342" s="101" t="s">
        <v>282</v>
      </c>
      <c r="B342" s="101"/>
      <c r="C342" s="101"/>
      <c r="D342" s="102"/>
      <c r="E342" s="103"/>
      <c r="F342" s="103"/>
      <c r="G342" s="104"/>
      <c r="H342" s="105"/>
      <c r="I342" s="106"/>
      <c r="J342" s="104"/>
      <c r="K342" s="105"/>
      <c r="M342" s="108"/>
      <c r="O342" s="108"/>
      <c r="R342" s="106"/>
      <c r="AF342" s="104"/>
      <c r="AG342" s="106"/>
      <c r="AH342" s="105"/>
      <c r="AI342" s="105"/>
      <c r="AJ342" s="104"/>
      <c r="AK342" s="104"/>
      <c r="AL342" s="105"/>
      <c r="AM342" s="105"/>
      <c r="AN342" s="105"/>
      <c r="AO342" s="105"/>
      <c r="AP342" s="105"/>
      <c r="AQ342" s="105"/>
      <c r="AR342" s="105"/>
      <c r="AS342" s="102"/>
      <c r="AT342" s="105"/>
      <c r="AU342" s="105"/>
      <c r="AV342" s="108"/>
      <c r="BI342" s="102"/>
      <c r="BO342" s="108"/>
      <c r="BQ342" s="108"/>
      <c r="BX342" s="108">
        <f>MEDIAN(BX312:BX340)</f>
        <v>40.181925562281023</v>
      </c>
      <c r="CA342" s="104">
        <f>MEDIAN(CA312:CA340)</f>
        <v>0.33802652867995031</v>
      </c>
      <c r="CB342" s="108"/>
      <c r="CC342" s="108"/>
      <c r="CD342" s="109">
        <f>MEDIAN(CD312:CD340)</f>
        <v>771.5011798399297</v>
      </c>
      <c r="CE342" s="109">
        <f>MEDIAN(CE312:CE340)</f>
        <v>813.13154912645393</v>
      </c>
      <c r="CF342" s="109">
        <f>MEDIAN(CF312:CF340)</f>
        <v>36.42592230834601</v>
      </c>
      <c r="CG342" s="105">
        <f>MEDIAN(CG312:CG340)</f>
        <v>0.1904751496762116</v>
      </c>
      <c r="CH342" s="105">
        <f>MEDIAN(CH312:CH340)</f>
        <v>0.52510533953034555</v>
      </c>
    </row>
    <row r="343" spans="1:101" s="107" customFormat="1">
      <c r="A343" s="101" t="s">
        <v>204</v>
      </c>
      <c r="B343" s="101"/>
      <c r="C343" s="101"/>
      <c r="D343" s="102"/>
      <c r="E343" s="103"/>
      <c r="F343" s="103"/>
      <c r="G343" s="104"/>
      <c r="H343" s="105"/>
      <c r="I343" s="106"/>
      <c r="J343" s="104"/>
      <c r="K343" s="105"/>
      <c r="M343" s="108"/>
      <c r="O343" s="108"/>
      <c r="R343" s="106"/>
      <c r="AF343" s="104"/>
      <c r="AG343" s="106"/>
      <c r="AH343" s="105"/>
      <c r="AI343" s="105"/>
      <c r="AJ343" s="104"/>
      <c r="AK343" s="104"/>
      <c r="AL343" s="105"/>
      <c r="AM343" s="105"/>
      <c r="AN343" s="105"/>
      <c r="AO343" s="105"/>
      <c r="AP343" s="105"/>
      <c r="AQ343" s="105"/>
      <c r="AR343" s="105"/>
      <c r="AS343" s="102"/>
      <c r="AT343" s="105"/>
      <c r="AU343" s="105"/>
      <c r="AV343" s="108"/>
      <c r="BI343" s="102"/>
      <c r="BO343" s="108"/>
      <c r="BQ343" s="108"/>
      <c r="BX343" s="108">
        <f>_xlfn.STDEV.S(BX312:BX340)</f>
        <v>87.665121497088919</v>
      </c>
      <c r="CA343" s="104">
        <f>_xlfn.STDEV.S(CA312:CA340)</f>
        <v>9.8832906842182586E-2</v>
      </c>
      <c r="CB343" s="108"/>
      <c r="CC343" s="108"/>
      <c r="CD343" s="109">
        <f>_xlfn.STDEV.S(CD312:CD340)</f>
        <v>25.355102730736849</v>
      </c>
      <c r="CE343" s="109">
        <f>_xlfn.STDEV.S(CE312:CE340)</f>
        <v>27.410688252258058</v>
      </c>
      <c r="CF343" s="109">
        <f>_xlfn.STDEV.S(CF312:CF340)</f>
        <v>9.8949188918730773</v>
      </c>
      <c r="CG343" s="105">
        <f>_xlfn.STDEV.S(CG312:CG340)</f>
        <v>0.20874028927832824</v>
      </c>
      <c r="CH343" s="105">
        <f>_xlfn.STDEV.S(CH312:CH340)</f>
        <v>0.13409507448983893</v>
      </c>
    </row>
    <row r="344" spans="1:101" s="107" customFormat="1">
      <c r="A344" s="101" t="s">
        <v>283</v>
      </c>
      <c r="B344" s="101"/>
      <c r="C344" s="101"/>
      <c r="D344" s="102"/>
      <c r="E344" s="103"/>
      <c r="F344" s="103"/>
      <c r="G344" s="104"/>
      <c r="H344" s="105"/>
      <c r="I344" s="106"/>
      <c r="J344" s="104"/>
      <c r="K344" s="105"/>
      <c r="M344" s="108"/>
      <c r="O344" s="108"/>
      <c r="R344" s="106"/>
      <c r="AF344" s="104"/>
      <c r="AG344" s="106"/>
      <c r="AH344" s="105"/>
      <c r="AI344" s="105"/>
      <c r="AJ344" s="104"/>
      <c r="AK344" s="104"/>
      <c r="AL344" s="105"/>
      <c r="AM344" s="105"/>
      <c r="AN344" s="105"/>
      <c r="AO344" s="105"/>
      <c r="AP344" s="105"/>
      <c r="AQ344" s="105"/>
      <c r="AR344" s="105"/>
      <c r="AS344" s="102"/>
      <c r="AT344" s="105"/>
      <c r="AU344" s="105"/>
      <c r="AV344" s="108"/>
      <c r="BI344" s="102"/>
      <c r="BO344" s="108"/>
      <c r="BQ344" s="108"/>
      <c r="BX344" s="105">
        <f>BX343/BX341</f>
        <v>1.3338575991953308</v>
      </c>
      <c r="CA344" s="104">
        <f>CA343/CA341</f>
        <v>0.2747706849753373</v>
      </c>
      <c r="CB344" s="108"/>
      <c r="CC344" s="108"/>
      <c r="CD344" s="110">
        <f>CD343/CD341</f>
        <v>3.2985622433898361E-2</v>
      </c>
      <c r="CE344" s="110">
        <f>CE343/CE341</f>
        <v>3.3836280094346013E-2</v>
      </c>
      <c r="CF344" s="110">
        <f>CF343/CF341</f>
        <v>0.25541995307029774</v>
      </c>
      <c r="CG344" s="105">
        <f>CG343/CG341</f>
        <v>1.2978553955693339</v>
      </c>
      <c r="CH344" s="105">
        <f>CH343/CH341</f>
        <v>0.25280424117031203</v>
      </c>
    </row>
    <row r="345" spans="1:101" s="98" customFormat="1">
      <c r="A345" s="3"/>
      <c r="B345" s="3"/>
      <c r="C345" s="3"/>
      <c r="D345" s="93"/>
      <c r="E345" s="94"/>
      <c r="F345" s="94"/>
      <c r="G345" s="95"/>
      <c r="H345" s="96"/>
      <c r="I345" s="97"/>
      <c r="J345" s="95"/>
      <c r="K345" s="96"/>
      <c r="M345" s="99"/>
      <c r="O345" s="99"/>
      <c r="R345" s="97"/>
      <c r="AF345" s="95"/>
      <c r="AG345" s="97"/>
      <c r="AH345" s="96"/>
      <c r="AI345" s="96"/>
      <c r="AJ345" s="95"/>
      <c r="AK345" s="95"/>
      <c r="AL345" s="96"/>
      <c r="AM345" s="96"/>
      <c r="AN345" s="96"/>
      <c r="AO345" s="96"/>
      <c r="AP345" s="96"/>
      <c r="AQ345" s="96"/>
      <c r="AR345" s="96"/>
      <c r="AS345" s="93"/>
      <c r="AT345" s="96"/>
      <c r="AU345" s="96"/>
      <c r="AV345" s="99"/>
      <c r="BI345" s="93"/>
      <c r="BO345" s="99"/>
      <c r="BQ345" s="99"/>
      <c r="CB345" s="99"/>
      <c r="CC345" s="99"/>
      <c r="CD345" s="100"/>
      <c r="CE345" s="100"/>
      <c r="CF345" s="100"/>
      <c r="CG345" s="96"/>
      <c r="CH345" s="96"/>
    </row>
    <row r="346" spans="1:101" s="98" customFormat="1">
      <c r="A346" s="3"/>
      <c r="B346" s="3"/>
      <c r="C346" s="3"/>
      <c r="D346" s="93"/>
      <c r="E346" s="94"/>
      <c r="F346" s="94"/>
      <c r="G346" s="95"/>
      <c r="H346" s="96"/>
      <c r="I346" s="97"/>
      <c r="J346" s="95"/>
      <c r="K346" s="96"/>
      <c r="M346" s="99"/>
      <c r="O346" s="99"/>
      <c r="R346" s="97"/>
      <c r="AF346" s="95"/>
      <c r="AG346" s="97"/>
      <c r="AH346" s="96"/>
      <c r="AI346" s="96"/>
      <c r="AJ346" s="95"/>
      <c r="AK346" s="95"/>
      <c r="AL346" s="96"/>
      <c r="AM346" s="96"/>
      <c r="AN346" s="96"/>
      <c r="AO346" s="96"/>
      <c r="AP346" s="96"/>
      <c r="AQ346" s="96"/>
      <c r="AR346" s="96"/>
      <c r="AS346" s="93"/>
      <c r="AT346" s="96"/>
      <c r="AU346" s="96"/>
      <c r="AV346" s="99"/>
      <c r="BI346" s="93"/>
      <c r="BO346" s="99"/>
      <c r="BQ346" s="99"/>
      <c r="CB346" s="99"/>
      <c r="CC346" s="99"/>
      <c r="CD346" s="100"/>
      <c r="CE346" s="100"/>
      <c r="CF346" s="100"/>
      <c r="CG346" s="96"/>
      <c r="CH346" s="96"/>
    </row>
    <row r="347" spans="1:101" s="98" customFormat="1">
      <c r="A347" s="34" t="s">
        <v>549</v>
      </c>
      <c r="B347" s="3"/>
      <c r="C347" s="3"/>
      <c r="D347" s="93"/>
      <c r="E347" s="94"/>
      <c r="F347" s="94"/>
      <c r="G347" s="95"/>
      <c r="H347" s="96"/>
      <c r="I347" s="97"/>
      <c r="J347" s="95"/>
      <c r="K347" s="96"/>
      <c r="M347" s="99"/>
      <c r="O347" s="99"/>
      <c r="R347" s="97"/>
      <c r="AF347" s="95"/>
      <c r="AG347" s="97"/>
      <c r="AH347" s="96"/>
      <c r="AI347" s="96"/>
      <c r="AJ347" s="95"/>
      <c r="AK347" s="95"/>
      <c r="AL347" s="96"/>
      <c r="AM347" s="96"/>
      <c r="AN347" s="96"/>
      <c r="AO347" s="96"/>
      <c r="AP347" s="96"/>
      <c r="AQ347" s="96"/>
      <c r="AR347" s="96"/>
      <c r="AS347" s="93"/>
      <c r="AT347" s="96"/>
      <c r="AU347" s="96"/>
      <c r="AV347" s="99"/>
      <c r="BI347" s="93"/>
      <c r="BO347" s="99"/>
      <c r="BQ347" s="99"/>
      <c r="CD347" s="3"/>
      <c r="CE347" s="3"/>
      <c r="CF347" s="3"/>
    </row>
    <row r="348" spans="1:101" s="98" customFormat="1">
      <c r="A348" s="3"/>
      <c r="B348" s="3"/>
      <c r="C348" s="3"/>
      <c r="D348" s="93"/>
      <c r="E348" s="94"/>
      <c r="F348" s="94"/>
      <c r="G348" s="95"/>
      <c r="H348" s="96"/>
      <c r="I348" s="97"/>
      <c r="J348" s="95"/>
      <c r="K348" s="96"/>
      <c r="M348" s="99"/>
      <c r="O348" s="99"/>
      <c r="R348" s="97"/>
      <c r="AF348" s="95"/>
      <c r="AG348" s="97"/>
      <c r="AH348" s="96"/>
      <c r="AI348" s="96"/>
      <c r="AJ348" s="95"/>
      <c r="AK348" s="95"/>
      <c r="AL348" s="96"/>
      <c r="AM348" s="96"/>
      <c r="AN348" s="96"/>
      <c r="AO348" s="96"/>
      <c r="AP348" s="96"/>
      <c r="AQ348" s="96"/>
      <c r="AR348" s="96"/>
      <c r="AS348" s="93"/>
      <c r="AT348" s="96"/>
      <c r="AU348" s="96"/>
      <c r="AV348" s="99"/>
      <c r="BI348" s="93"/>
      <c r="BO348" s="99"/>
      <c r="BQ348" s="99"/>
      <c r="CD348" s="3"/>
      <c r="CE348" s="3"/>
      <c r="CF348" s="3"/>
    </row>
    <row r="349" spans="1:101" s="98" customFormat="1">
      <c r="A349" s="3" t="s">
        <v>550</v>
      </c>
      <c r="B349" s="92" t="s">
        <v>244</v>
      </c>
      <c r="C349" s="3"/>
      <c r="D349" s="93">
        <v>11.04</v>
      </c>
      <c r="E349" s="94">
        <v>0.22370000000000001</v>
      </c>
      <c r="F349" s="94">
        <v>1.1999999999999999E-3</v>
      </c>
      <c r="G349" s="95">
        <v>18.068000000000001</v>
      </c>
      <c r="H349" s="96">
        <v>0.53</v>
      </c>
      <c r="I349" s="97">
        <v>0.58479999999999999</v>
      </c>
      <c r="J349" s="95">
        <v>1.6E-2</v>
      </c>
      <c r="K349" s="96">
        <v>0.14766000000000001</v>
      </c>
      <c r="M349" s="99">
        <v>2968.4</v>
      </c>
      <c r="N349" s="98">
        <v>64</v>
      </c>
      <c r="O349" s="99">
        <v>3007.8</v>
      </c>
      <c r="P349" s="98">
        <v>5.0999999999999996</v>
      </c>
      <c r="Q349" s="93">
        <v>1.26</v>
      </c>
      <c r="R349" s="97">
        <v>6.4999999999999997E-3</v>
      </c>
      <c r="T349" s="98">
        <v>300</v>
      </c>
      <c r="U349" s="98">
        <v>180</v>
      </c>
      <c r="V349" s="98">
        <v>0.7</v>
      </c>
      <c r="W349" s="98">
        <v>1.9</v>
      </c>
      <c r="X349" s="98">
        <v>0.08</v>
      </c>
      <c r="Y349" s="98">
        <v>0.12</v>
      </c>
      <c r="Z349" s="98">
        <v>1.89</v>
      </c>
      <c r="AA349" s="98">
        <v>0.72</v>
      </c>
      <c r="AB349" s="98">
        <v>0.72</v>
      </c>
      <c r="AC349" s="98">
        <v>0.39</v>
      </c>
      <c r="AD349" s="98">
        <v>1030</v>
      </c>
      <c r="AE349" s="98">
        <v>120</v>
      </c>
      <c r="AF349" s="95">
        <v>2.9000000000000001E-2</v>
      </c>
      <c r="AG349" s="97">
        <v>2.7E-2</v>
      </c>
      <c r="AH349" s="96">
        <v>28.4</v>
      </c>
      <c r="AI349" s="96">
        <v>4.2</v>
      </c>
      <c r="AJ349" s="95">
        <v>0.106</v>
      </c>
      <c r="AK349" s="95">
        <v>0.05</v>
      </c>
      <c r="AL349" s="96">
        <v>2.5</v>
      </c>
      <c r="AM349" s="96">
        <v>0.98</v>
      </c>
      <c r="AN349" s="96">
        <v>5.2</v>
      </c>
      <c r="AO349" s="96">
        <v>1.1000000000000001</v>
      </c>
      <c r="AP349" s="96">
        <v>0.59</v>
      </c>
      <c r="AQ349" s="96">
        <v>0.17</v>
      </c>
      <c r="AR349" s="96">
        <v>28.3</v>
      </c>
      <c r="AS349" s="93">
        <v>4.3</v>
      </c>
      <c r="AT349" s="96">
        <v>9.61</v>
      </c>
      <c r="AU349" s="96">
        <v>0.98</v>
      </c>
      <c r="AV349" s="99">
        <v>98</v>
      </c>
      <c r="AW349" s="98">
        <v>11</v>
      </c>
      <c r="AX349" s="98">
        <v>34.799999999999997</v>
      </c>
      <c r="AY349" s="98">
        <v>4.5</v>
      </c>
      <c r="AZ349" s="98">
        <v>170</v>
      </c>
      <c r="BA349" s="98">
        <v>22</v>
      </c>
      <c r="BB349" s="98">
        <v>30.6</v>
      </c>
      <c r="BC349" s="98">
        <v>4.3</v>
      </c>
      <c r="BD349" s="98">
        <v>282</v>
      </c>
      <c r="BE349" s="98">
        <v>39</v>
      </c>
      <c r="BF349" s="98">
        <v>51</v>
      </c>
      <c r="BG349" s="98">
        <v>6</v>
      </c>
      <c r="BI349" s="93">
        <v>16.3</v>
      </c>
      <c r="BJ349" s="98">
        <v>3.2</v>
      </c>
      <c r="BK349" s="98">
        <v>562000</v>
      </c>
      <c r="BL349" s="98">
        <v>70000</v>
      </c>
      <c r="BM349" s="98">
        <v>11400</v>
      </c>
      <c r="BN349" s="98">
        <v>1500</v>
      </c>
      <c r="BO349" s="99">
        <v>227</v>
      </c>
      <c r="BP349" s="98">
        <v>28</v>
      </c>
      <c r="BQ349" s="99">
        <v>174</v>
      </c>
      <c r="BR349" s="98">
        <v>21</v>
      </c>
      <c r="CD349" s="3"/>
      <c r="CE349" s="3"/>
      <c r="CF349" s="3"/>
    </row>
    <row r="350" spans="1:101" s="98" customFormat="1">
      <c r="A350" s="3" t="s">
        <v>551</v>
      </c>
      <c r="B350" s="92" t="s">
        <v>244</v>
      </c>
      <c r="C350" s="3"/>
      <c r="D350" s="93">
        <v>11.023999999999999</v>
      </c>
      <c r="E350" s="94">
        <v>0.22337000000000001</v>
      </c>
      <c r="F350" s="94">
        <v>1.1000000000000001E-3</v>
      </c>
      <c r="G350" s="95">
        <v>18.07</v>
      </c>
      <c r="H350" s="96">
        <v>0.53</v>
      </c>
      <c r="I350" s="97">
        <v>0.58850000000000002</v>
      </c>
      <c r="J350" s="95">
        <v>1.6E-2</v>
      </c>
      <c r="K350" s="96">
        <v>0.40872000000000003</v>
      </c>
      <c r="M350" s="99">
        <v>2983.5</v>
      </c>
      <c r="N350" s="98">
        <v>64</v>
      </c>
      <c r="O350" s="99">
        <v>3004.4</v>
      </c>
      <c r="P350" s="98">
        <v>3.7</v>
      </c>
      <c r="Q350" s="93">
        <v>0.69</v>
      </c>
      <c r="R350" s="97">
        <v>3.2000000000000002E-3</v>
      </c>
      <c r="T350" s="98">
        <v>460</v>
      </c>
      <c r="U350" s="98">
        <v>210</v>
      </c>
      <c r="V350" s="98">
        <v>0.6</v>
      </c>
      <c r="W350" s="98">
        <v>1.4</v>
      </c>
      <c r="X350" s="98">
        <v>3.5999999999999997E-2</v>
      </c>
      <c r="Y350" s="98">
        <v>7.6999999999999999E-2</v>
      </c>
      <c r="Z350" s="98">
        <v>2.2799999999999998</v>
      </c>
      <c r="AA350" s="98">
        <v>0.57999999999999996</v>
      </c>
      <c r="AB350" s="98">
        <v>0.72</v>
      </c>
      <c r="AC350" s="98">
        <v>0.24</v>
      </c>
      <c r="AD350" s="98">
        <v>1230</v>
      </c>
      <c r="AE350" s="98">
        <v>160</v>
      </c>
      <c r="AF350" s="95">
        <v>6.3E-2</v>
      </c>
      <c r="AG350" s="97">
        <v>4.2999999999999997E-2</v>
      </c>
      <c r="AH350" s="96">
        <v>30.1</v>
      </c>
      <c r="AI350" s="96">
        <v>3.7</v>
      </c>
      <c r="AJ350" s="95">
        <v>0.14699999999999999</v>
      </c>
      <c r="AK350" s="95">
        <v>5.3999999999999999E-2</v>
      </c>
      <c r="AL350" s="96">
        <v>2.4</v>
      </c>
      <c r="AM350" s="96">
        <v>1.2</v>
      </c>
      <c r="AN350" s="96">
        <v>6.5</v>
      </c>
      <c r="AO350" s="96">
        <v>1.8</v>
      </c>
      <c r="AP350" s="96">
        <v>0.69</v>
      </c>
      <c r="AQ350" s="96">
        <v>0.22</v>
      </c>
      <c r="AR350" s="96">
        <v>40.1</v>
      </c>
      <c r="AS350" s="93">
        <v>5.0999999999999996</v>
      </c>
      <c r="AT350" s="96">
        <v>9.8000000000000007</v>
      </c>
      <c r="AU350" s="96">
        <v>1.3</v>
      </c>
      <c r="AV350" s="99">
        <v>116</v>
      </c>
      <c r="AW350" s="98">
        <v>13</v>
      </c>
      <c r="AX350" s="98">
        <v>39.799999999999997</v>
      </c>
      <c r="AY350" s="98">
        <v>4.7</v>
      </c>
      <c r="AZ350" s="98">
        <v>177</v>
      </c>
      <c r="BA350" s="98">
        <v>14</v>
      </c>
      <c r="BB350" s="98">
        <v>37.200000000000003</v>
      </c>
      <c r="BC350" s="98">
        <v>4.7</v>
      </c>
      <c r="BD350" s="98">
        <v>296</v>
      </c>
      <c r="BE350" s="98">
        <v>32</v>
      </c>
      <c r="BF350" s="98">
        <v>56.3</v>
      </c>
      <c r="BG350" s="98">
        <v>6.2</v>
      </c>
      <c r="BI350" s="93">
        <v>14.7</v>
      </c>
      <c r="BJ350" s="98">
        <v>3.6</v>
      </c>
      <c r="BK350" s="98">
        <v>560000</v>
      </c>
      <c r="BL350" s="98">
        <v>80000</v>
      </c>
      <c r="BM350" s="98">
        <v>11200</v>
      </c>
      <c r="BN350" s="98">
        <v>1100</v>
      </c>
      <c r="BO350" s="99">
        <v>240</v>
      </c>
      <c r="BP350" s="98">
        <v>28</v>
      </c>
      <c r="BQ350" s="99">
        <v>185</v>
      </c>
      <c r="BR350" s="98">
        <v>27</v>
      </c>
      <c r="CD350" s="3"/>
      <c r="CE350" s="3"/>
      <c r="CF350" s="3"/>
    </row>
    <row r="351" spans="1:101" s="98" customFormat="1">
      <c r="A351" s="3" t="s">
        <v>552</v>
      </c>
      <c r="B351" s="92" t="s">
        <v>244</v>
      </c>
      <c r="C351" s="3"/>
      <c r="D351" s="93">
        <v>11.045999999999999</v>
      </c>
      <c r="E351" s="94">
        <v>0.22325999999999999</v>
      </c>
      <c r="F351" s="94">
        <v>1E-3</v>
      </c>
      <c r="G351" s="95">
        <v>18.010000000000002</v>
      </c>
      <c r="H351" s="96">
        <v>0.53</v>
      </c>
      <c r="I351" s="97">
        <v>0.58860000000000001</v>
      </c>
      <c r="J351" s="95">
        <v>1.6E-2</v>
      </c>
      <c r="K351" s="96">
        <v>0.74448999999999999</v>
      </c>
      <c r="M351" s="99">
        <v>2984</v>
      </c>
      <c r="N351" s="98">
        <v>65</v>
      </c>
      <c r="O351" s="99">
        <v>3004.7</v>
      </c>
      <c r="P351" s="98">
        <v>2.8</v>
      </c>
      <c r="Q351" s="93">
        <v>0.7</v>
      </c>
      <c r="R351" s="97">
        <v>3.0999999999999999E-3</v>
      </c>
      <c r="T351" s="98">
        <v>340</v>
      </c>
      <c r="U351" s="98">
        <v>140</v>
      </c>
      <c r="V351" s="98">
        <v>0.2</v>
      </c>
      <c r="W351" s="98">
        <v>1.6</v>
      </c>
      <c r="X351" s="98">
        <v>0.15</v>
      </c>
      <c r="Y351" s="98">
        <v>0.17</v>
      </c>
      <c r="Z351" s="98">
        <v>1.85</v>
      </c>
      <c r="AA351" s="98">
        <v>0.73</v>
      </c>
      <c r="AB351" s="98">
        <v>0.36</v>
      </c>
      <c r="AC351" s="98">
        <v>0.25</v>
      </c>
      <c r="AD351" s="98">
        <v>1047</v>
      </c>
      <c r="AE351" s="98">
        <v>98</v>
      </c>
      <c r="AF351" s="95">
        <v>4.8000000000000001E-2</v>
      </c>
      <c r="AG351" s="97">
        <v>3.4000000000000002E-2</v>
      </c>
      <c r="AH351" s="96">
        <v>26.9</v>
      </c>
      <c r="AI351" s="96">
        <v>2.9</v>
      </c>
      <c r="AJ351" s="95">
        <v>0.14000000000000001</v>
      </c>
      <c r="AK351" s="95">
        <v>5.3999999999999999E-2</v>
      </c>
      <c r="AL351" s="96">
        <v>2.19</v>
      </c>
      <c r="AM351" s="96">
        <v>0.69</v>
      </c>
      <c r="AN351" s="96">
        <v>4.7</v>
      </c>
      <c r="AO351" s="96">
        <v>1.4</v>
      </c>
      <c r="AP351" s="96">
        <v>0.84</v>
      </c>
      <c r="AQ351" s="96">
        <v>0.24</v>
      </c>
      <c r="AR351" s="96">
        <v>27.9</v>
      </c>
      <c r="AS351" s="93">
        <v>5.3</v>
      </c>
      <c r="AT351" s="96">
        <v>9.1</v>
      </c>
      <c r="AU351" s="96">
        <v>1.3</v>
      </c>
      <c r="AV351" s="99">
        <v>106</v>
      </c>
      <c r="AW351" s="98">
        <v>14</v>
      </c>
      <c r="AX351" s="98">
        <v>37</v>
      </c>
      <c r="AY351" s="98">
        <v>4.2</v>
      </c>
      <c r="AZ351" s="98">
        <v>166</v>
      </c>
      <c r="BA351" s="98">
        <v>14</v>
      </c>
      <c r="BB351" s="98">
        <v>32.1</v>
      </c>
      <c r="BC351" s="98">
        <v>4</v>
      </c>
      <c r="BD351" s="98">
        <v>255</v>
      </c>
      <c r="BE351" s="98">
        <v>23</v>
      </c>
      <c r="BF351" s="98">
        <v>53.9</v>
      </c>
      <c r="BG351" s="98">
        <v>6.8</v>
      </c>
      <c r="BI351" s="93">
        <v>10.9</v>
      </c>
      <c r="BJ351" s="98">
        <v>3.7</v>
      </c>
      <c r="BK351" s="98">
        <v>550000</v>
      </c>
      <c r="BL351" s="98">
        <v>73000</v>
      </c>
      <c r="BM351" s="98">
        <v>11100</v>
      </c>
      <c r="BN351" s="98">
        <v>1700</v>
      </c>
      <c r="BO351" s="99">
        <v>225</v>
      </c>
      <c r="BP351" s="98">
        <v>19</v>
      </c>
      <c r="BQ351" s="99">
        <v>170</v>
      </c>
      <c r="BR351" s="98">
        <v>13</v>
      </c>
      <c r="CD351" s="3"/>
      <c r="CE351" s="3"/>
      <c r="CF351" s="3"/>
    </row>
    <row r="352" spans="1:101" s="98" customFormat="1">
      <c r="A352" s="3" t="s">
        <v>553</v>
      </c>
      <c r="B352" s="92" t="s">
        <v>244</v>
      </c>
      <c r="C352" s="3"/>
      <c r="D352" s="93">
        <v>11.023</v>
      </c>
      <c r="E352" s="94">
        <v>0.22370000000000001</v>
      </c>
      <c r="F352" s="94">
        <v>1.1000000000000001E-3</v>
      </c>
      <c r="G352" s="95">
        <v>17.88</v>
      </c>
      <c r="H352" s="96">
        <v>0.53</v>
      </c>
      <c r="I352" s="97">
        <v>0.5837</v>
      </c>
      <c r="J352" s="95">
        <v>1.6E-2</v>
      </c>
      <c r="K352" s="96">
        <v>0.68037999999999998</v>
      </c>
      <c r="M352" s="99">
        <v>2964</v>
      </c>
      <c r="N352" s="98">
        <v>65</v>
      </c>
      <c r="O352" s="99">
        <v>3006.6</v>
      </c>
      <c r="P352" s="98">
        <v>4.8</v>
      </c>
      <c r="Q352" s="93">
        <v>1.42</v>
      </c>
      <c r="R352" s="97">
        <v>5.4000000000000003E-3</v>
      </c>
      <c r="T352" s="98">
        <v>280</v>
      </c>
      <c r="U352" s="98">
        <v>140</v>
      </c>
      <c r="V352" s="98">
        <v>0.8</v>
      </c>
      <c r="W352" s="98">
        <v>1.9</v>
      </c>
      <c r="X352" s="98">
        <v>0.24</v>
      </c>
      <c r="Y352" s="98">
        <v>0.27</v>
      </c>
      <c r="Z352" s="98">
        <v>1.79</v>
      </c>
      <c r="AA352" s="98">
        <v>0.68</v>
      </c>
      <c r="AB352" s="98">
        <v>0.52</v>
      </c>
      <c r="AC352" s="98">
        <v>0.27</v>
      </c>
      <c r="AD352" s="98">
        <v>1220</v>
      </c>
      <c r="AE352" s="98">
        <v>110</v>
      </c>
      <c r="AF352" s="95">
        <v>1.2999999999999999E-2</v>
      </c>
      <c r="AG352" s="97">
        <v>1.6E-2</v>
      </c>
      <c r="AH352" s="96">
        <v>30.7</v>
      </c>
      <c r="AI352" s="96">
        <v>5</v>
      </c>
      <c r="AJ352" s="95">
        <v>0.157</v>
      </c>
      <c r="AK352" s="95">
        <v>4.7E-2</v>
      </c>
      <c r="AL352" s="96">
        <v>2.1800000000000002</v>
      </c>
      <c r="AM352" s="96">
        <v>0.91</v>
      </c>
      <c r="AN352" s="96">
        <v>7.2</v>
      </c>
      <c r="AO352" s="96">
        <v>2</v>
      </c>
      <c r="AP352" s="96">
        <v>0.72</v>
      </c>
      <c r="AQ352" s="96">
        <v>0.28000000000000003</v>
      </c>
      <c r="AR352" s="96">
        <v>32.799999999999997</v>
      </c>
      <c r="AS352" s="93">
        <v>7.9</v>
      </c>
      <c r="AT352" s="96">
        <v>9.4</v>
      </c>
      <c r="AU352" s="96">
        <v>1.1000000000000001</v>
      </c>
      <c r="AV352" s="99">
        <v>107</v>
      </c>
      <c r="AW352" s="98">
        <v>11</v>
      </c>
      <c r="AX352" s="98">
        <v>37</v>
      </c>
      <c r="AY352" s="98">
        <v>3.3</v>
      </c>
      <c r="AZ352" s="98">
        <v>179</v>
      </c>
      <c r="BA352" s="98">
        <v>18</v>
      </c>
      <c r="BB352" s="98">
        <v>34.299999999999997</v>
      </c>
      <c r="BC352" s="98">
        <v>4.7</v>
      </c>
      <c r="BD352" s="98">
        <v>284</v>
      </c>
      <c r="BE352" s="98">
        <v>31</v>
      </c>
      <c r="BF352" s="98">
        <v>57.8</v>
      </c>
      <c r="BG352" s="98">
        <v>7.4</v>
      </c>
      <c r="BI352" s="93">
        <v>13.6</v>
      </c>
      <c r="BJ352" s="98">
        <v>4.5999999999999996</v>
      </c>
      <c r="BK352" s="98">
        <v>601000</v>
      </c>
      <c r="BL352" s="98">
        <v>74000</v>
      </c>
      <c r="BM352" s="98">
        <v>11500</v>
      </c>
      <c r="BN352" s="98">
        <v>1500</v>
      </c>
      <c r="BO352" s="99">
        <v>233</v>
      </c>
      <c r="BP352" s="98">
        <v>18</v>
      </c>
      <c r="BQ352" s="99">
        <v>181</v>
      </c>
      <c r="BR352" s="98">
        <v>15</v>
      </c>
      <c r="CD352" s="3"/>
      <c r="CE352" s="3"/>
      <c r="CF352" s="3"/>
    </row>
    <row r="353" spans="1:90" s="98" customFormat="1">
      <c r="A353" s="3" t="s">
        <v>554</v>
      </c>
      <c r="B353" s="92" t="s">
        <v>244</v>
      </c>
      <c r="C353" s="3"/>
      <c r="D353" s="93">
        <v>11.013999999999999</v>
      </c>
      <c r="E353" s="94">
        <v>0.22259999999999999</v>
      </c>
      <c r="F353" s="94">
        <v>1.2999999999999999E-3</v>
      </c>
      <c r="G353" s="95">
        <v>17.768999999999998</v>
      </c>
      <c r="H353" s="96">
        <v>0.52</v>
      </c>
      <c r="I353" s="97">
        <v>0.58230000000000004</v>
      </c>
      <c r="J353" s="95">
        <v>1.6E-2</v>
      </c>
      <c r="K353" s="96">
        <v>0.19785</v>
      </c>
      <c r="M353" s="99">
        <v>2958.1</v>
      </c>
      <c r="N353" s="98">
        <v>64</v>
      </c>
      <c r="O353" s="99">
        <v>2999.4</v>
      </c>
      <c r="P353" s="98">
        <v>5.8</v>
      </c>
      <c r="Q353" s="93">
        <v>1.37</v>
      </c>
      <c r="R353" s="97">
        <v>5.5999999999999999E-3</v>
      </c>
      <c r="T353" s="98">
        <v>440</v>
      </c>
      <c r="U353" s="98">
        <v>160</v>
      </c>
      <c r="V353" s="98">
        <v>1.4</v>
      </c>
      <c r="W353" s="98">
        <v>2</v>
      </c>
      <c r="X353" s="98">
        <v>0.18</v>
      </c>
      <c r="Y353" s="98">
        <v>0.17</v>
      </c>
      <c r="Z353" s="98">
        <v>1.87</v>
      </c>
      <c r="AA353" s="98">
        <v>0.71</v>
      </c>
      <c r="AB353" s="98">
        <v>0.46</v>
      </c>
      <c r="AC353" s="98">
        <v>0.23</v>
      </c>
      <c r="AD353" s="98">
        <v>966</v>
      </c>
      <c r="AE353" s="98">
        <v>87</v>
      </c>
      <c r="AF353" s="95">
        <v>0.10100000000000001</v>
      </c>
      <c r="AG353" s="97">
        <v>4.5999999999999999E-2</v>
      </c>
      <c r="AH353" s="96">
        <v>25</v>
      </c>
      <c r="AI353" s="96">
        <v>2.6</v>
      </c>
      <c r="AJ353" s="95">
        <v>0.113</v>
      </c>
      <c r="AK353" s="95">
        <v>4.2000000000000003E-2</v>
      </c>
      <c r="AL353" s="96">
        <v>2.31</v>
      </c>
      <c r="AM353" s="96">
        <v>0.74</v>
      </c>
      <c r="AN353" s="96">
        <v>5.0999999999999996</v>
      </c>
      <c r="AO353" s="96">
        <v>1.2</v>
      </c>
      <c r="AP353" s="96">
        <v>0.56000000000000005</v>
      </c>
      <c r="AQ353" s="96">
        <v>0.17</v>
      </c>
      <c r="AR353" s="96">
        <v>22.1</v>
      </c>
      <c r="AS353" s="93">
        <v>3.6</v>
      </c>
      <c r="AT353" s="96">
        <v>8.6</v>
      </c>
      <c r="AU353" s="96">
        <v>1.5</v>
      </c>
      <c r="AV353" s="99">
        <v>90</v>
      </c>
      <c r="AW353" s="98">
        <v>12</v>
      </c>
      <c r="AX353" s="98">
        <v>30.5</v>
      </c>
      <c r="AY353" s="98">
        <v>4</v>
      </c>
      <c r="AZ353" s="98">
        <v>143</v>
      </c>
      <c r="BA353" s="98">
        <v>12</v>
      </c>
      <c r="BB353" s="98">
        <v>26.4</v>
      </c>
      <c r="BC353" s="98">
        <v>2.4</v>
      </c>
      <c r="BD353" s="98">
        <v>230</v>
      </c>
      <c r="BE353" s="98">
        <v>25</v>
      </c>
      <c r="BF353" s="98">
        <v>47.9</v>
      </c>
      <c r="BG353" s="98">
        <v>6.1</v>
      </c>
      <c r="BI353" s="93">
        <v>11.8</v>
      </c>
      <c r="BJ353" s="98">
        <v>2.9</v>
      </c>
      <c r="BK353" s="98">
        <v>544000</v>
      </c>
      <c r="BL353" s="98">
        <v>63000</v>
      </c>
      <c r="BM353" s="98">
        <v>9600</v>
      </c>
      <c r="BN353" s="98">
        <v>1100</v>
      </c>
      <c r="BO353" s="99">
        <v>177</v>
      </c>
      <c r="BP353" s="98">
        <v>16</v>
      </c>
      <c r="BQ353" s="99">
        <v>146</v>
      </c>
      <c r="BR353" s="98">
        <v>11</v>
      </c>
      <c r="CD353" s="3"/>
      <c r="CE353" s="3"/>
      <c r="CF353" s="3"/>
    </row>
    <row r="354" spans="1:90" s="98" customFormat="1">
      <c r="A354" s="3" t="s">
        <v>555</v>
      </c>
      <c r="B354" s="92" t="s">
        <v>244</v>
      </c>
      <c r="C354" s="3"/>
      <c r="D354" s="93">
        <v>11.026</v>
      </c>
      <c r="E354" s="94">
        <v>0.22339999999999999</v>
      </c>
      <c r="F354" s="94">
        <v>1.2999999999999999E-3</v>
      </c>
      <c r="G354" s="95">
        <v>18.16</v>
      </c>
      <c r="H354" s="96">
        <v>0.53</v>
      </c>
      <c r="I354" s="97">
        <v>0.59179999999999999</v>
      </c>
      <c r="J354" s="95">
        <v>1.6E-2</v>
      </c>
      <c r="K354" s="96">
        <v>0.40867999999999999</v>
      </c>
      <c r="M354" s="99">
        <v>2996.5</v>
      </c>
      <c r="N354" s="98">
        <v>65</v>
      </c>
      <c r="O354" s="99">
        <v>3005.7</v>
      </c>
      <c r="P354" s="98">
        <v>4.5999999999999996</v>
      </c>
      <c r="Q354" s="93">
        <v>0.3</v>
      </c>
      <c r="R354" s="97">
        <v>2.7000000000000001E-3</v>
      </c>
      <c r="T354" s="98">
        <v>400</v>
      </c>
      <c r="U354" s="98">
        <v>120</v>
      </c>
      <c r="V354" s="98">
        <v>0</v>
      </c>
      <c r="W354" s="98">
        <v>1.4</v>
      </c>
      <c r="X354" s="98">
        <v>0.12</v>
      </c>
      <c r="Y354" s="98">
        <v>0.14000000000000001</v>
      </c>
      <c r="Z354" s="98">
        <v>1.51</v>
      </c>
      <c r="AA354" s="98">
        <v>0.45</v>
      </c>
      <c r="AB354" s="98">
        <v>0.38</v>
      </c>
      <c r="AC354" s="98">
        <v>0.24</v>
      </c>
      <c r="AD354" s="98">
        <v>900</v>
      </c>
      <c r="AE354" s="98">
        <v>120</v>
      </c>
      <c r="AF354" s="95">
        <v>3.5000000000000003E-2</v>
      </c>
      <c r="AG354" s="97">
        <v>2.3E-2</v>
      </c>
      <c r="AH354" s="96">
        <v>25.6</v>
      </c>
      <c r="AI354" s="96">
        <v>3.6</v>
      </c>
      <c r="AJ354" s="95">
        <v>9.9000000000000005E-2</v>
      </c>
      <c r="AK354" s="95">
        <v>0.05</v>
      </c>
      <c r="AL354" s="96">
        <v>2.7</v>
      </c>
      <c r="AM354" s="96">
        <v>1</v>
      </c>
      <c r="AN354" s="96">
        <v>4.5</v>
      </c>
      <c r="AO354" s="96">
        <v>1.7</v>
      </c>
      <c r="AP354" s="96">
        <v>0.52</v>
      </c>
      <c r="AQ354" s="96">
        <v>0.19</v>
      </c>
      <c r="AR354" s="96">
        <v>25.4</v>
      </c>
      <c r="AS354" s="93">
        <v>4.0999999999999996</v>
      </c>
      <c r="AT354" s="96">
        <v>8.18</v>
      </c>
      <c r="AU354" s="96">
        <v>0.99</v>
      </c>
      <c r="AV354" s="99">
        <v>89.3</v>
      </c>
      <c r="AW354" s="98">
        <v>9.9</v>
      </c>
      <c r="AX354" s="98">
        <v>31.6</v>
      </c>
      <c r="AY354" s="98">
        <v>3.2</v>
      </c>
      <c r="AZ354" s="98">
        <v>143</v>
      </c>
      <c r="BA354" s="98">
        <v>14</v>
      </c>
      <c r="BB354" s="98">
        <v>27.3</v>
      </c>
      <c r="BC354" s="98">
        <v>2.4</v>
      </c>
      <c r="BD354" s="98">
        <v>237</v>
      </c>
      <c r="BE354" s="98">
        <v>23</v>
      </c>
      <c r="BF354" s="98">
        <v>47.3</v>
      </c>
      <c r="BG354" s="98">
        <v>6.4</v>
      </c>
      <c r="BI354" s="93">
        <v>10.5</v>
      </c>
      <c r="BJ354" s="98">
        <v>3.4</v>
      </c>
      <c r="BK354" s="98">
        <v>507000</v>
      </c>
      <c r="BL354" s="98">
        <v>71000</v>
      </c>
      <c r="BM354" s="98">
        <v>10200</v>
      </c>
      <c r="BN354" s="98">
        <v>1400</v>
      </c>
      <c r="BO354" s="99">
        <v>194</v>
      </c>
      <c r="BP354" s="98">
        <v>18</v>
      </c>
      <c r="BQ354" s="99">
        <v>155</v>
      </c>
      <c r="BR354" s="98">
        <v>13</v>
      </c>
      <c r="CD354" s="3"/>
      <c r="CE354" s="3"/>
      <c r="CF354" s="3"/>
    </row>
    <row r="355" spans="1:90" s="98" customFormat="1">
      <c r="A355" s="3" t="s">
        <v>556</v>
      </c>
      <c r="B355" s="92" t="s">
        <v>244</v>
      </c>
      <c r="C355" s="3"/>
      <c r="D355" s="93">
        <v>11.026999999999999</v>
      </c>
      <c r="E355" s="94">
        <v>0.22320000000000001</v>
      </c>
      <c r="F355" s="94">
        <v>1.1000000000000001E-3</v>
      </c>
      <c r="G355" s="95">
        <v>17.832999999999998</v>
      </c>
      <c r="H355" s="96">
        <v>0.52</v>
      </c>
      <c r="I355" s="97">
        <v>0.58069999999999999</v>
      </c>
      <c r="J355" s="95">
        <v>1.6E-2</v>
      </c>
      <c r="K355" s="96">
        <v>0.19126000000000001</v>
      </c>
      <c r="M355" s="99">
        <v>2951.4</v>
      </c>
      <c r="N355" s="98">
        <v>64</v>
      </c>
      <c r="O355" s="99">
        <v>3004.1</v>
      </c>
      <c r="P355" s="98">
        <v>4.3</v>
      </c>
      <c r="Q355" s="93">
        <v>1.75</v>
      </c>
      <c r="R355" s="97">
        <v>7.7999999999999996E-3</v>
      </c>
      <c r="T355" s="98">
        <v>210</v>
      </c>
      <c r="U355" s="98">
        <v>130</v>
      </c>
      <c r="V355" s="98">
        <v>0.7</v>
      </c>
      <c r="W355" s="98">
        <v>1.2</v>
      </c>
      <c r="X355" s="98">
        <v>0.32</v>
      </c>
      <c r="Y355" s="98">
        <v>0.23</v>
      </c>
      <c r="Z355" s="98">
        <v>1.72</v>
      </c>
      <c r="AA355" s="98">
        <v>0.59</v>
      </c>
      <c r="AB355" s="98">
        <v>0.28000000000000003</v>
      </c>
      <c r="AC355" s="98">
        <v>0.21</v>
      </c>
      <c r="AD355" s="98">
        <v>983</v>
      </c>
      <c r="AE355" s="98">
        <v>96</v>
      </c>
      <c r="AF355" s="95">
        <v>6.3E-2</v>
      </c>
      <c r="AG355" s="97">
        <v>3.7999999999999999E-2</v>
      </c>
      <c r="AH355" s="96">
        <v>26.5</v>
      </c>
      <c r="AI355" s="96">
        <v>3.9</v>
      </c>
      <c r="AJ355" s="95">
        <v>0.126</v>
      </c>
      <c r="AK355" s="95">
        <v>3.6999999999999998E-2</v>
      </c>
      <c r="AL355" s="96">
        <v>2.25</v>
      </c>
      <c r="AM355" s="96">
        <v>0.84</v>
      </c>
      <c r="AN355" s="96">
        <v>6.5</v>
      </c>
      <c r="AO355" s="96">
        <v>2</v>
      </c>
      <c r="AP355" s="96">
        <v>0.5</v>
      </c>
      <c r="AQ355" s="96">
        <v>0.19</v>
      </c>
      <c r="AR355" s="96">
        <v>32.799999999999997</v>
      </c>
      <c r="AS355" s="93">
        <v>8.3000000000000007</v>
      </c>
      <c r="AT355" s="96">
        <v>8.8000000000000007</v>
      </c>
      <c r="AU355" s="96">
        <v>1.4</v>
      </c>
      <c r="AV355" s="99">
        <v>89</v>
      </c>
      <c r="AW355" s="98">
        <v>11</v>
      </c>
      <c r="AX355" s="98">
        <v>28.9</v>
      </c>
      <c r="AY355" s="98">
        <v>3.2</v>
      </c>
      <c r="AZ355" s="98">
        <v>151</v>
      </c>
      <c r="BA355" s="98">
        <v>21</v>
      </c>
      <c r="BB355" s="98">
        <v>25.7</v>
      </c>
      <c r="BC355" s="98">
        <v>3.3</v>
      </c>
      <c r="BD355" s="98">
        <v>240</v>
      </c>
      <c r="BE355" s="98">
        <v>29</v>
      </c>
      <c r="BF355" s="98">
        <v>46.7</v>
      </c>
      <c r="BG355" s="98">
        <v>5.8</v>
      </c>
      <c r="BI355" s="93">
        <v>12</v>
      </c>
      <c r="BJ355" s="98">
        <v>4.4000000000000004</v>
      </c>
      <c r="BK355" s="98">
        <v>497000</v>
      </c>
      <c r="BL355" s="98">
        <v>45000</v>
      </c>
      <c r="BM355" s="98">
        <v>9800</v>
      </c>
      <c r="BN355" s="98">
        <v>1000</v>
      </c>
      <c r="BO355" s="99">
        <v>202</v>
      </c>
      <c r="BP355" s="98">
        <v>22</v>
      </c>
      <c r="BQ355" s="99">
        <v>159</v>
      </c>
      <c r="BR355" s="98">
        <v>14</v>
      </c>
      <c r="CD355" s="3"/>
      <c r="CE355" s="3"/>
      <c r="CF355" s="3"/>
    </row>
    <row r="356" spans="1:90" s="98" customFormat="1">
      <c r="A356" s="3" t="s">
        <v>557</v>
      </c>
      <c r="B356" s="92" t="s">
        <v>244</v>
      </c>
      <c r="C356" s="3"/>
      <c r="D356" s="93">
        <v>11.031000000000001</v>
      </c>
      <c r="E356" s="94">
        <v>0.22289999999999999</v>
      </c>
      <c r="F356" s="94">
        <v>1.1000000000000001E-3</v>
      </c>
      <c r="G356" s="95">
        <v>17.95</v>
      </c>
      <c r="H356" s="96">
        <v>0.53</v>
      </c>
      <c r="I356" s="97">
        <v>0.58499999999999996</v>
      </c>
      <c r="J356" s="95">
        <v>1.6E-2</v>
      </c>
      <c r="K356" s="96">
        <v>0.49845</v>
      </c>
      <c r="M356" s="99">
        <v>2969.2</v>
      </c>
      <c r="N356" s="98">
        <v>64</v>
      </c>
      <c r="O356" s="99">
        <v>3002.2</v>
      </c>
      <c r="P356" s="98">
        <v>4.2</v>
      </c>
      <c r="Q356" s="93">
        <v>1.1599999999999999</v>
      </c>
      <c r="R356" s="97">
        <v>5.0000000000000001E-3</v>
      </c>
      <c r="T356" s="98">
        <v>370</v>
      </c>
      <c r="U356" s="98">
        <v>140</v>
      </c>
      <c r="V356" s="98">
        <v>0.6</v>
      </c>
      <c r="W356" s="98">
        <v>1.2</v>
      </c>
      <c r="X356" s="98">
        <v>0.24</v>
      </c>
      <c r="Y356" s="98">
        <v>0.26</v>
      </c>
      <c r="Z356" s="98">
        <v>1.53</v>
      </c>
      <c r="AA356" s="98">
        <v>0.47</v>
      </c>
      <c r="AB356" s="98">
        <v>0.41</v>
      </c>
      <c r="AC356" s="98">
        <v>0.27</v>
      </c>
      <c r="AD356" s="98">
        <v>940</v>
      </c>
      <c r="AE356" s="98">
        <v>110</v>
      </c>
      <c r="AF356" s="95">
        <v>0.152</v>
      </c>
      <c r="AG356" s="97">
        <v>5.8000000000000003E-2</v>
      </c>
      <c r="AH356" s="96">
        <v>23.5</v>
      </c>
      <c r="AI356" s="96">
        <v>2.1</v>
      </c>
      <c r="AJ356" s="95">
        <v>0.20899999999999999</v>
      </c>
      <c r="AK356" s="95">
        <v>4.8000000000000001E-2</v>
      </c>
      <c r="AL356" s="96">
        <v>2.37</v>
      </c>
      <c r="AM356" s="96">
        <v>0.64</v>
      </c>
      <c r="AN356" s="96">
        <v>5.7</v>
      </c>
      <c r="AO356" s="96">
        <v>1.6</v>
      </c>
      <c r="AP356" s="96">
        <v>1.04</v>
      </c>
      <c r="AQ356" s="96">
        <v>0.34</v>
      </c>
      <c r="AR356" s="96">
        <v>22.5</v>
      </c>
      <c r="AS356" s="93">
        <v>3.7</v>
      </c>
      <c r="AT356" s="96">
        <v>7.3</v>
      </c>
      <c r="AU356" s="96">
        <v>1.1000000000000001</v>
      </c>
      <c r="AV356" s="99">
        <v>92</v>
      </c>
      <c r="AW356" s="98">
        <v>11</v>
      </c>
      <c r="AX356" s="98">
        <v>30.5</v>
      </c>
      <c r="AY356" s="98">
        <v>3.3</v>
      </c>
      <c r="AZ356" s="98">
        <v>145</v>
      </c>
      <c r="BA356" s="98">
        <v>12</v>
      </c>
      <c r="BB356" s="98">
        <v>26.4</v>
      </c>
      <c r="BC356" s="98">
        <v>2.2000000000000002</v>
      </c>
      <c r="BD356" s="98">
        <v>247</v>
      </c>
      <c r="BE356" s="98">
        <v>25</v>
      </c>
      <c r="BF356" s="98">
        <v>42.8</v>
      </c>
      <c r="BG356" s="98">
        <v>4</v>
      </c>
      <c r="BI356" s="93">
        <v>12.2</v>
      </c>
      <c r="BJ356" s="98">
        <v>3.5</v>
      </c>
      <c r="BK356" s="98">
        <v>503000</v>
      </c>
      <c r="BL356" s="98">
        <v>41000</v>
      </c>
      <c r="BM356" s="98">
        <v>9930</v>
      </c>
      <c r="BN356" s="98">
        <v>740</v>
      </c>
      <c r="BO356" s="99">
        <v>189</v>
      </c>
      <c r="BP356" s="98">
        <v>18</v>
      </c>
      <c r="BQ356" s="99">
        <v>151</v>
      </c>
      <c r="BR356" s="98">
        <v>11</v>
      </c>
      <c r="CD356" s="3"/>
      <c r="CE356" s="3"/>
      <c r="CF356" s="3"/>
    </row>
    <row r="357" spans="1:90" s="98" customFormat="1">
      <c r="A357" s="3" t="s">
        <v>558</v>
      </c>
      <c r="B357" s="92" t="s">
        <v>244</v>
      </c>
      <c r="C357" s="3"/>
      <c r="D357" s="93">
        <v>11.023999999999999</v>
      </c>
      <c r="E357" s="94">
        <v>0.22286</v>
      </c>
      <c r="F357" s="94">
        <v>1.1000000000000001E-3</v>
      </c>
      <c r="G357" s="95">
        <v>18.37</v>
      </c>
      <c r="H357" s="96">
        <v>0.54</v>
      </c>
      <c r="I357" s="97">
        <v>0.59919999999999995</v>
      </c>
      <c r="J357" s="95">
        <v>1.6E-2</v>
      </c>
      <c r="K357" s="96">
        <v>0.67169999999999996</v>
      </c>
      <c r="M357" s="99">
        <v>3026.7</v>
      </c>
      <c r="N357" s="98">
        <v>65</v>
      </c>
      <c r="O357" s="99">
        <v>3002</v>
      </c>
      <c r="P357" s="98">
        <v>3.2</v>
      </c>
      <c r="Q357" s="93">
        <v>-0.82</v>
      </c>
      <c r="R357" s="97">
        <v>3.5E-4</v>
      </c>
      <c r="T357" s="98">
        <v>370</v>
      </c>
      <c r="U357" s="98">
        <v>110</v>
      </c>
      <c r="V357" s="98">
        <v>0.8</v>
      </c>
      <c r="W357" s="98">
        <v>1.6</v>
      </c>
      <c r="X357" s="98">
        <v>0.18</v>
      </c>
      <c r="Y357" s="98">
        <v>0.17</v>
      </c>
      <c r="Z357" s="98">
        <v>1.19</v>
      </c>
      <c r="AA357" s="98">
        <v>0.39</v>
      </c>
      <c r="AB357" s="98">
        <v>0.43</v>
      </c>
      <c r="AC357" s="98">
        <v>0.25</v>
      </c>
      <c r="AD357" s="98">
        <v>970</v>
      </c>
      <c r="AE357" s="98">
        <v>100</v>
      </c>
      <c r="AF357" s="95">
        <v>7.9000000000000001E-2</v>
      </c>
      <c r="AG357" s="97">
        <v>3.4000000000000002E-2</v>
      </c>
      <c r="AH357" s="96">
        <v>23.8</v>
      </c>
      <c r="AI357" s="96">
        <v>2.5</v>
      </c>
      <c r="AJ357" s="95">
        <v>0.124</v>
      </c>
      <c r="AK357" s="95">
        <v>4.8000000000000001E-2</v>
      </c>
      <c r="AL357" s="96">
        <v>1.99</v>
      </c>
      <c r="AM357" s="96">
        <v>0.74</v>
      </c>
      <c r="AN357" s="96">
        <v>3.8</v>
      </c>
      <c r="AO357" s="96">
        <v>1.2</v>
      </c>
      <c r="AP357" s="96">
        <v>0.56000000000000005</v>
      </c>
      <c r="AQ357" s="96">
        <v>0.21</v>
      </c>
      <c r="AR357" s="96">
        <v>29</v>
      </c>
      <c r="AS357" s="93">
        <v>6.4</v>
      </c>
      <c r="AT357" s="96">
        <v>7.19</v>
      </c>
      <c r="AU357" s="96">
        <v>0.92</v>
      </c>
      <c r="AV357" s="99">
        <v>95</v>
      </c>
      <c r="AW357" s="98">
        <v>10</v>
      </c>
      <c r="AX357" s="98">
        <v>31.5</v>
      </c>
      <c r="AY357" s="98">
        <v>2.7</v>
      </c>
      <c r="AZ357" s="98">
        <v>142</v>
      </c>
      <c r="BA357" s="98">
        <v>11</v>
      </c>
      <c r="BB357" s="98">
        <v>26.2</v>
      </c>
      <c r="BC357" s="98">
        <v>2.5</v>
      </c>
      <c r="BD357" s="98">
        <v>234</v>
      </c>
      <c r="BE357" s="98">
        <v>28</v>
      </c>
      <c r="BF357" s="98">
        <v>44.3</v>
      </c>
      <c r="BG357" s="98">
        <v>5.2</v>
      </c>
      <c r="BI357" s="93">
        <v>8.3000000000000007</v>
      </c>
      <c r="BJ357" s="98">
        <v>3.5</v>
      </c>
      <c r="BK357" s="98">
        <v>487000</v>
      </c>
      <c r="BL357" s="98">
        <v>56000</v>
      </c>
      <c r="BM357" s="98">
        <v>8980</v>
      </c>
      <c r="BN357" s="98">
        <v>850</v>
      </c>
      <c r="BO357" s="99">
        <v>190</v>
      </c>
      <c r="BP357" s="98">
        <v>18</v>
      </c>
      <c r="BQ357" s="99">
        <v>151</v>
      </c>
      <c r="BR357" s="98">
        <v>14</v>
      </c>
      <c r="CD357" s="3"/>
      <c r="CE357" s="3"/>
      <c r="CF357" s="3"/>
    </row>
    <row r="358" spans="1:90" s="98" customFormat="1">
      <c r="A358" s="3" t="s">
        <v>559</v>
      </c>
      <c r="B358" s="92" t="s">
        <v>244</v>
      </c>
      <c r="C358" s="3"/>
      <c r="D358" s="93">
        <v>11.013999999999999</v>
      </c>
      <c r="E358" s="94">
        <v>0.2233</v>
      </c>
      <c r="F358" s="94">
        <v>1.1999999999999999E-3</v>
      </c>
      <c r="G358" s="95">
        <v>17.792000000000002</v>
      </c>
      <c r="H358" s="96">
        <v>0.52</v>
      </c>
      <c r="I358" s="97">
        <v>0.57999999999999996</v>
      </c>
      <c r="J358" s="95">
        <v>1.6E-2</v>
      </c>
      <c r="K358" s="96">
        <v>0.27479999999999999</v>
      </c>
      <c r="M358" s="99">
        <v>2948.6</v>
      </c>
      <c r="N358" s="98">
        <v>64</v>
      </c>
      <c r="O358" s="99">
        <v>3004.4</v>
      </c>
      <c r="P358" s="98">
        <v>4.0999999999999996</v>
      </c>
      <c r="Q358" s="93">
        <v>1.85</v>
      </c>
      <c r="R358" s="97">
        <v>7.7999999999999996E-3</v>
      </c>
      <c r="T358" s="98">
        <v>353</v>
      </c>
      <c r="U358" s="98">
        <v>98</v>
      </c>
      <c r="V358" s="98">
        <v>0.4</v>
      </c>
      <c r="W358" s="98">
        <v>1.7</v>
      </c>
      <c r="X358" s="98">
        <v>0.2</v>
      </c>
      <c r="Y358" s="98">
        <v>0.17</v>
      </c>
      <c r="Z358" s="98">
        <v>1.58</v>
      </c>
      <c r="AA358" s="98">
        <v>0.55000000000000004</v>
      </c>
      <c r="AB358" s="98">
        <v>0.65</v>
      </c>
      <c r="AC358" s="98">
        <v>0.33</v>
      </c>
      <c r="AD358" s="98">
        <v>1090</v>
      </c>
      <c r="AE358" s="98">
        <v>100</v>
      </c>
      <c r="AF358" s="95">
        <v>2.8000000000000001E-2</v>
      </c>
      <c r="AG358" s="97">
        <v>0.02</v>
      </c>
      <c r="AH358" s="96">
        <v>26.2</v>
      </c>
      <c r="AI358" s="96">
        <v>2.9</v>
      </c>
      <c r="AJ358" s="95">
        <v>0.13700000000000001</v>
      </c>
      <c r="AK358" s="95">
        <v>4.3999999999999997E-2</v>
      </c>
      <c r="AL358" s="96">
        <v>3.04</v>
      </c>
      <c r="AM358" s="96">
        <v>0.83</v>
      </c>
      <c r="AN358" s="96">
        <v>6.9</v>
      </c>
      <c r="AO358" s="96">
        <v>1.1000000000000001</v>
      </c>
      <c r="AP358" s="96">
        <v>0.61</v>
      </c>
      <c r="AQ358" s="96">
        <v>0.21</v>
      </c>
      <c r="AR358" s="96">
        <v>34.1</v>
      </c>
      <c r="AS358" s="93">
        <v>5.7</v>
      </c>
      <c r="AT358" s="96">
        <v>9.6999999999999993</v>
      </c>
      <c r="AU358" s="96">
        <v>1.2</v>
      </c>
      <c r="AV358" s="99">
        <v>110</v>
      </c>
      <c r="AW358" s="98">
        <v>11</v>
      </c>
      <c r="AX358" s="98">
        <v>36.6</v>
      </c>
      <c r="AY358" s="98">
        <v>3</v>
      </c>
      <c r="AZ358" s="98">
        <v>156</v>
      </c>
      <c r="BA358" s="98">
        <v>13</v>
      </c>
      <c r="BB358" s="98">
        <v>30.5</v>
      </c>
      <c r="BC358" s="98">
        <v>2.9</v>
      </c>
      <c r="BD358" s="98">
        <v>260</v>
      </c>
      <c r="BE358" s="98">
        <v>17</v>
      </c>
      <c r="BF358" s="98">
        <v>50.4</v>
      </c>
      <c r="BG358" s="98">
        <v>3.7</v>
      </c>
      <c r="BI358" s="93">
        <v>12.7</v>
      </c>
      <c r="BJ358" s="98">
        <v>3.5</v>
      </c>
      <c r="BK358" s="98">
        <v>522000</v>
      </c>
      <c r="BL358" s="98">
        <v>46000</v>
      </c>
      <c r="BM358" s="98">
        <v>10120</v>
      </c>
      <c r="BN358" s="98">
        <v>760</v>
      </c>
      <c r="BO358" s="99">
        <v>232</v>
      </c>
      <c r="BP358" s="98">
        <v>16</v>
      </c>
      <c r="BQ358" s="99">
        <v>170</v>
      </c>
      <c r="BR358" s="98">
        <v>11</v>
      </c>
      <c r="CD358" s="3"/>
      <c r="CE358" s="3"/>
      <c r="CF358" s="3"/>
    </row>
    <row r="359" spans="1:90" s="98" customFormat="1">
      <c r="A359" s="3" t="s">
        <v>550</v>
      </c>
      <c r="B359" s="3" t="s">
        <v>268</v>
      </c>
      <c r="C359" s="3"/>
      <c r="D359" s="93">
        <v>7.0339999999999998</v>
      </c>
      <c r="E359" s="94">
        <v>0.22339999999999999</v>
      </c>
      <c r="F359" s="94">
        <v>1.5E-3</v>
      </c>
      <c r="G359" s="95">
        <v>17.95</v>
      </c>
      <c r="H359" s="96">
        <v>0.45</v>
      </c>
      <c r="I359" s="97">
        <v>0.58340000000000003</v>
      </c>
      <c r="J359" s="95">
        <v>1.2999999999999999E-2</v>
      </c>
      <c r="K359" s="96">
        <v>0.59375999999999995</v>
      </c>
      <c r="M359" s="99">
        <v>2962.4</v>
      </c>
      <c r="N359" s="98">
        <v>52</v>
      </c>
      <c r="O359" s="99">
        <v>3004.4</v>
      </c>
      <c r="P359" s="98">
        <v>4.5999999999999996</v>
      </c>
      <c r="Q359" s="93">
        <v>1.4</v>
      </c>
      <c r="R359" s="97">
        <v>6.4000000000000003E-3</v>
      </c>
      <c r="T359" s="98">
        <v>550</v>
      </c>
      <c r="U359" s="98">
        <v>250</v>
      </c>
      <c r="V359" s="98">
        <v>0.5</v>
      </c>
      <c r="W359" s="98">
        <v>1.1000000000000001</v>
      </c>
      <c r="X359" s="98">
        <v>0.08</v>
      </c>
      <c r="Y359" s="98">
        <v>0.11</v>
      </c>
      <c r="Z359" s="98">
        <v>3.2</v>
      </c>
      <c r="AA359" s="98">
        <v>0.85</v>
      </c>
      <c r="AB359" s="98">
        <v>1.2</v>
      </c>
      <c r="AC359" s="98">
        <v>0.46</v>
      </c>
      <c r="AD359" s="98">
        <v>847</v>
      </c>
      <c r="AE359" s="98">
        <v>64</v>
      </c>
      <c r="AF359" s="95">
        <v>9.4999999999999998E-3</v>
      </c>
      <c r="AG359" s="97">
        <v>8.8999999999999999E-3</v>
      </c>
      <c r="AH359" s="96">
        <v>24</v>
      </c>
      <c r="AI359" s="96">
        <v>2.2000000000000002</v>
      </c>
      <c r="AJ359" s="95">
        <v>0.09</v>
      </c>
      <c r="AK359" s="95">
        <v>3.3000000000000002E-2</v>
      </c>
      <c r="AL359" s="96">
        <v>1.54</v>
      </c>
      <c r="AM359" s="96">
        <v>0.53</v>
      </c>
      <c r="AN359" s="96">
        <v>4.2</v>
      </c>
      <c r="AO359" s="96">
        <v>0.93</v>
      </c>
      <c r="AP359" s="96">
        <v>0.48</v>
      </c>
      <c r="AQ359" s="96">
        <v>0.19</v>
      </c>
      <c r="AR359" s="96">
        <v>21.7</v>
      </c>
      <c r="AS359" s="93">
        <v>4.3</v>
      </c>
      <c r="AT359" s="96">
        <v>6.7</v>
      </c>
      <c r="AU359" s="96">
        <v>1.4</v>
      </c>
      <c r="AV359" s="99">
        <v>74</v>
      </c>
      <c r="AW359" s="98">
        <v>10</v>
      </c>
      <c r="AX359" s="98">
        <v>25.4</v>
      </c>
      <c r="AY359" s="98">
        <v>2.9</v>
      </c>
      <c r="AZ359" s="98">
        <v>118</v>
      </c>
      <c r="BA359" s="98">
        <v>10</v>
      </c>
      <c r="BB359" s="98">
        <v>24.5</v>
      </c>
      <c r="BC359" s="98">
        <v>2.9</v>
      </c>
      <c r="BD359" s="98">
        <v>214</v>
      </c>
      <c r="BE359" s="98">
        <v>28</v>
      </c>
      <c r="BF359" s="98">
        <v>43.6</v>
      </c>
      <c r="BG359" s="98">
        <v>6</v>
      </c>
      <c r="BI359" s="98">
        <v>11.3</v>
      </c>
      <c r="BJ359" s="98">
        <v>3.9</v>
      </c>
      <c r="BK359" s="98">
        <v>564000</v>
      </c>
      <c r="BL359" s="98">
        <v>47000</v>
      </c>
      <c r="BM359" s="98">
        <v>10600</v>
      </c>
      <c r="BN359" s="98">
        <v>1300</v>
      </c>
      <c r="BO359" s="99">
        <v>135</v>
      </c>
      <c r="BP359" s="98">
        <v>18</v>
      </c>
      <c r="BQ359" s="99">
        <v>126</v>
      </c>
      <c r="BR359" s="98">
        <v>17</v>
      </c>
      <c r="CD359" s="3"/>
      <c r="CE359" s="3"/>
      <c r="CF359" s="3"/>
      <c r="CL359" s="135"/>
    </row>
    <row r="360" spans="1:90" s="98" customFormat="1">
      <c r="A360" s="3" t="s">
        <v>551</v>
      </c>
      <c r="B360" s="3" t="s">
        <v>268</v>
      </c>
      <c r="C360" s="3"/>
      <c r="D360" s="93">
        <v>7.2939999999999996</v>
      </c>
      <c r="E360" s="94">
        <v>0.22289999999999999</v>
      </c>
      <c r="F360" s="94">
        <v>1.1000000000000001E-3</v>
      </c>
      <c r="G360" s="95">
        <v>17.916</v>
      </c>
      <c r="H360" s="96">
        <v>0.44</v>
      </c>
      <c r="I360" s="97">
        <v>0.58399999999999996</v>
      </c>
      <c r="J360" s="95">
        <v>1.2999999999999999E-2</v>
      </c>
      <c r="K360" s="96">
        <v>0.39750000000000002</v>
      </c>
      <c r="M360" s="99">
        <v>2965.2</v>
      </c>
      <c r="N360" s="98">
        <v>51</v>
      </c>
      <c r="O360" s="99">
        <v>3002.6</v>
      </c>
      <c r="P360" s="98">
        <v>3.6</v>
      </c>
      <c r="Q360" s="93">
        <v>1.24</v>
      </c>
      <c r="R360" s="97">
        <v>5.1999999999999998E-3</v>
      </c>
      <c r="T360" s="98">
        <v>480</v>
      </c>
      <c r="U360" s="98">
        <v>110</v>
      </c>
      <c r="V360" s="98" t="s">
        <v>250</v>
      </c>
      <c r="W360" s="98" t="s">
        <v>250</v>
      </c>
      <c r="X360" s="98">
        <v>0.28999999999999998</v>
      </c>
      <c r="Y360" s="98">
        <v>0.23</v>
      </c>
      <c r="Z360" s="98">
        <v>2.19</v>
      </c>
      <c r="AA360" s="98">
        <v>0.45</v>
      </c>
      <c r="AB360" s="98">
        <v>0.6</v>
      </c>
      <c r="AC360" s="98">
        <v>0.19</v>
      </c>
      <c r="AD360" s="98">
        <v>706</v>
      </c>
      <c r="AE360" s="98">
        <v>58</v>
      </c>
      <c r="AF360" s="95">
        <v>0.161</v>
      </c>
      <c r="AG360" s="97">
        <v>5.5E-2</v>
      </c>
      <c r="AH360" s="96">
        <v>23.8</v>
      </c>
      <c r="AI360" s="96">
        <v>2.4</v>
      </c>
      <c r="AJ360" s="95">
        <v>0.23100000000000001</v>
      </c>
      <c r="AK360" s="95">
        <v>6.5000000000000002E-2</v>
      </c>
      <c r="AL360" s="96">
        <v>2.64</v>
      </c>
      <c r="AM360" s="96">
        <v>0.97</v>
      </c>
      <c r="AN360" s="96">
        <v>4.5</v>
      </c>
      <c r="AO360" s="96">
        <v>1.2</v>
      </c>
      <c r="AP360" s="96">
        <v>0.4</v>
      </c>
      <c r="AQ360" s="96">
        <v>0.16</v>
      </c>
      <c r="AR360" s="96">
        <v>16.7</v>
      </c>
      <c r="AS360" s="93">
        <v>3.5</v>
      </c>
      <c r="AT360" s="96">
        <v>5.74</v>
      </c>
      <c r="AU360" s="96">
        <v>0.82</v>
      </c>
      <c r="AV360" s="99">
        <v>69.099999999999994</v>
      </c>
      <c r="AW360" s="98">
        <v>7.2</v>
      </c>
      <c r="AX360" s="98">
        <v>23.1</v>
      </c>
      <c r="AY360" s="98">
        <v>2.2999999999999998</v>
      </c>
      <c r="AZ360" s="98">
        <v>110</v>
      </c>
      <c r="BA360" s="98">
        <v>11</v>
      </c>
      <c r="BB360" s="98">
        <v>21.9</v>
      </c>
      <c r="BC360" s="98">
        <v>2.2000000000000002</v>
      </c>
      <c r="BD360" s="98">
        <v>192</v>
      </c>
      <c r="BE360" s="98">
        <v>18</v>
      </c>
      <c r="BF360" s="98">
        <v>39.4</v>
      </c>
      <c r="BG360" s="98">
        <v>4.2</v>
      </c>
      <c r="BI360" s="98">
        <v>10.8</v>
      </c>
      <c r="BJ360" s="98">
        <v>2.4</v>
      </c>
      <c r="BK360" s="98">
        <v>518000</v>
      </c>
      <c r="BL360" s="98">
        <v>35000</v>
      </c>
      <c r="BM360" s="98">
        <v>9700</v>
      </c>
      <c r="BN360" s="98">
        <v>1200</v>
      </c>
      <c r="BO360" s="99">
        <v>112.4</v>
      </c>
      <c r="BP360" s="98">
        <v>8.6999999999999993</v>
      </c>
      <c r="BQ360" s="99">
        <v>111.3</v>
      </c>
      <c r="BR360" s="98">
        <v>8.6</v>
      </c>
      <c r="CD360" s="3"/>
      <c r="CE360" s="3"/>
      <c r="CF360" s="3"/>
      <c r="CL360" s="135"/>
    </row>
    <row r="361" spans="1:90" s="98" customFormat="1">
      <c r="A361" s="3" t="s">
        <v>552</v>
      </c>
      <c r="B361" s="3" t="s">
        <v>268</v>
      </c>
      <c r="C361" s="3"/>
      <c r="D361" s="93">
        <v>7.0140000000000002</v>
      </c>
      <c r="E361" s="94">
        <v>0.22370000000000001</v>
      </c>
      <c r="F361" s="94">
        <v>1.1000000000000001E-3</v>
      </c>
      <c r="G361" s="95">
        <v>17.86</v>
      </c>
      <c r="H361" s="96">
        <v>0.44</v>
      </c>
      <c r="I361" s="97">
        <v>0.58009999999999995</v>
      </c>
      <c r="J361" s="95">
        <v>1.2E-2</v>
      </c>
      <c r="K361" s="96">
        <v>0.44087999999999999</v>
      </c>
      <c r="M361" s="99">
        <v>2949</v>
      </c>
      <c r="N361" s="98">
        <v>51</v>
      </c>
      <c r="O361" s="99">
        <v>3006.5</v>
      </c>
      <c r="P361" s="98">
        <v>4</v>
      </c>
      <c r="Q361" s="93">
        <v>1.91</v>
      </c>
      <c r="R361" s="97">
        <v>8.6E-3</v>
      </c>
      <c r="T361" s="98">
        <v>235</v>
      </c>
      <c r="U361" s="98">
        <v>93</v>
      </c>
      <c r="V361" s="98">
        <v>0.1</v>
      </c>
      <c r="W361" s="98">
        <v>1.2</v>
      </c>
      <c r="X361" s="98">
        <v>0.16</v>
      </c>
      <c r="Y361" s="98">
        <v>0.17</v>
      </c>
      <c r="Z361" s="98">
        <v>3.05</v>
      </c>
      <c r="AA361" s="98">
        <v>0.76</v>
      </c>
      <c r="AB361" s="98">
        <v>0.64</v>
      </c>
      <c r="AC361" s="98">
        <v>0.28000000000000003</v>
      </c>
      <c r="AD361" s="98">
        <v>709</v>
      </c>
      <c r="AE361" s="98">
        <v>54</v>
      </c>
      <c r="AF361" s="95" t="s">
        <v>250</v>
      </c>
      <c r="AG361" s="97" t="s">
        <v>250</v>
      </c>
      <c r="AH361" s="96">
        <v>24.5</v>
      </c>
      <c r="AI361" s="96">
        <v>2.5</v>
      </c>
      <c r="AJ361" s="95">
        <v>6.7000000000000004E-2</v>
      </c>
      <c r="AK361" s="95">
        <v>0.05</v>
      </c>
      <c r="AL361" s="96">
        <v>1.61</v>
      </c>
      <c r="AM361" s="96">
        <v>0.71</v>
      </c>
      <c r="AN361" s="96">
        <v>4.2</v>
      </c>
      <c r="AO361" s="96">
        <v>1.4</v>
      </c>
      <c r="AP361" s="96">
        <v>0.55000000000000004</v>
      </c>
      <c r="AQ361" s="96">
        <v>0.24</v>
      </c>
      <c r="AR361" s="96">
        <v>19</v>
      </c>
      <c r="AS361" s="93">
        <v>4.5</v>
      </c>
      <c r="AT361" s="96">
        <v>5.33</v>
      </c>
      <c r="AU361" s="96">
        <v>0.56999999999999995</v>
      </c>
      <c r="AV361" s="99">
        <v>65.8</v>
      </c>
      <c r="AW361" s="98">
        <v>8.4</v>
      </c>
      <c r="AX361" s="98">
        <v>24.7</v>
      </c>
      <c r="AY361" s="98">
        <v>1.8</v>
      </c>
      <c r="AZ361" s="98">
        <v>113</v>
      </c>
      <c r="BA361" s="98">
        <v>11</v>
      </c>
      <c r="BB361" s="98">
        <v>23.8</v>
      </c>
      <c r="BC361" s="98">
        <v>2.4</v>
      </c>
      <c r="BD361" s="98">
        <v>194</v>
      </c>
      <c r="BE361" s="98">
        <v>15</v>
      </c>
      <c r="BF361" s="98">
        <v>41.3</v>
      </c>
      <c r="BG361" s="98">
        <v>3.7</v>
      </c>
      <c r="BI361" s="98">
        <v>13</v>
      </c>
      <c r="BJ361" s="98">
        <v>3.3</v>
      </c>
      <c r="BK361" s="98">
        <v>548000</v>
      </c>
      <c r="BL361" s="98">
        <v>41000</v>
      </c>
      <c r="BM361" s="98">
        <v>10900</v>
      </c>
      <c r="BN361" s="98">
        <v>1100</v>
      </c>
      <c r="BO361" s="99">
        <v>107.9</v>
      </c>
      <c r="BP361" s="98">
        <v>9.1999999999999993</v>
      </c>
      <c r="BQ361" s="99">
        <v>113.4</v>
      </c>
      <c r="BR361" s="98">
        <v>9.6</v>
      </c>
      <c r="CD361" s="3"/>
      <c r="CE361" s="3"/>
      <c r="CF361" s="3"/>
      <c r="CL361" s="135"/>
    </row>
    <row r="362" spans="1:90" s="326" customFormat="1">
      <c r="A362" s="319" t="s">
        <v>553</v>
      </c>
      <c r="B362" s="320" t="s">
        <v>268</v>
      </c>
      <c r="C362" s="319"/>
      <c r="D362" s="321">
        <v>7.0309999999999997</v>
      </c>
      <c r="E362" s="322">
        <v>0.21990000000000001</v>
      </c>
      <c r="F362" s="322">
        <v>1.1000000000000001E-3</v>
      </c>
      <c r="G362" s="323">
        <v>17.579999999999998</v>
      </c>
      <c r="H362" s="324">
        <v>0.51</v>
      </c>
      <c r="I362" s="325">
        <v>0.58069999999999999</v>
      </c>
      <c r="J362" s="323">
        <v>1.4999999999999999E-2</v>
      </c>
      <c r="K362" s="324">
        <v>0.95779000000000003</v>
      </c>
      <c r="M362" s="327">
        <v>2951</v>
      </c>
      <c r="N362" s="326">
        <v>62</v>
      </c>
      <c r="O362" s="327">
        <v>2979.3</v>
      </c>
      <c r="P362" s="326">
        <v>3.2</v>
      </c>
      <c r="Q362" s="321">
        <v>1</v>
      </c>
      <c r="R362" s="325">
        <v>8.2000000000000007E-3</v>
      </c>
      <c r="T362" s="328">
        <v>390</v>
      </c>
      <c r="U362" s="328">
        <v>180</v>
      </c>
      <c r="V362" s="328">
        <v>0.41</v>
      </c>
      <c r="W362" s="328">
        <v>0.87</v>
      </c>
      <c r="X362" s="328">
        <v>11</v>
      </c>
      <c r="Y362" s="328">
        <v>8.3000000000000007</v>
      </c>
      <c r="Z362" s="328">
        <v>2.62</v>
      </c>
      <c r="AA362" s="328">
        <v>0.72</v>
      </c>
      <c r="AB362" s="328">
        <v>0.46</v>
      </c>
      <c r="AC362" s="328">
        <v>0.2</v>
      </c>
      <c r="AD362" s="328">
        <v>570</v>
      </c>
      <c r="AE362" s="328">
        <v>63</v>
      </c>
      <c r="AF362" s="329">
        <v>0.107</v>
      </c>
      <c r="AG362" s="330">
        <v>3.3000000000000002E-2</v>
      </c>
      <c r="AH362" s="331">
        <v>18.2</v>
      </c>
      <c r="AI362" s="331">
        <v>2.7</v>
      </c>
      <c r="AJ362" s="329">
        <v>0.16500000000000001</v>
      </c>
      <c r="AK362" s="329">
        <v>4.5999999999999999E-2</v>
      </c>
      <c r="AL362" s="331">
        <v>2.38</v>
      </c>
      <c r="AM362" s="331">
        <v>0.61</v>
      </c>
      <c r="AN362" s="331">
        <v>3</v>
      </c>
      <c r="AO362" s="331">
        <v>1</v>
      </c>
      <c r="AP362" s="331">
        <v>0.49</v>
      </c>
      <c r="AQ362" s="331">
        <v>0.18</v>
      </c>
      <c r="AR362" s="331">
        <v>16</v>
      </c>
      <c r="AS362" s="332">
        <v>2.8</v>
      </c>
      <c r="AT362" s="331">
        <v>5.52</v>
      </c>
      <c r="AU362" s="331">
        <v>0.76</v>
      </c>
      <c r="AV362" s="333">
        <v>56.3</v>
      </c>
      <c r="AW362" s="328">
        <v>3.9</v>
      </c>
      <c r="AX362" s="328">
        <v>18.7</v>
      </c>
      <c r="AY362" s="328">
        <v>1.9</v>
      </c>
      <c r="AZ362" s="328">
        <v>84.3</v>
      </c>
      <c r="BA362" s="328">
        <v>6.7</v>
      </c>
      <c r="BB362" s="328">
        <v>17.399999999999999</v>
      </c>
      <c r="BC362" s="328">
        <v>1.5</v>
      </c>
      <c r="BD362" s="328">
        <v>147</v>
      </c>
      <c r="BE362" s="328">
        <v>14</v>
      </c>
      <c r="BF362" s="328">
        <v>31</v>
      </c>
      <c r="BG362" s="328">
        <v>2.5</v>
      </c>
      <c r="BH362" s="328"/>
      <c r="BI362" s="328">
        <v>9.6999999999999993</v>
      </c>
      <c r="BJ362" s="328">
        <v>2.1</v>
      </c>
      <c r="BK362" s="328">
        <v>501000</v>
      </c>
      <c r="BL362" s="328">
        <v>46000</v>
      </c>
      <c r="BM362" s="328">
        <v>9980</v>
      </c>
      <c r="BN362" s="328">
        <v>1100</v>
      </c>
      <c r="BO362" s="333">
        <v>132</v>
      </c>
      <c r="BP362" s="328">
        <v>10</v>
      </c>
      <c r="BQ362" s="333">
        <v>159</v>
      </c>
      <c r="BR362" s="328">
        <v>13</v>
      </c>
      <c r="BS362" s="328"/>
      <c r="BT362" s="328"/>
      <c r="BU362" s="328"/>
      <c r="BV362" s="328"/>
      <c r="BW362" s="328"/>
      <c r="BX362" s="328"/>
      <c r="BY362" s="328"/>
      <c r="BZ362" s="328"/>
      <c r="CA362" s="328"/>
      <c r="CD362" s="320"/>
      <c r="CE362" s="320"/>
      <c r="CF362" s="320"/>
      <c r="CI362" s="328"/>
      <c r="CL362" s="334"/>
    </row>
    <row r="363" spans="1:90" s="98" customFormat="1">
      <c r="A363" s="3" t="s">
        <v>554</v>
      </c>
      <c r="B363" s="3" t="s">
        <v>268</v>
      </c>
      <c r="C363" s="3"/>
      <c r="D363" s="93">
        <v>7.0540000000000003</v>
      </c>
      <c r="E363" s="94">
        <v>0.22317999999999999</v>
      </c>
      <c r="F363" s="94">
        <v>9.2000000000000003E-4</v>
      </c>
      <c r="G363" s="95">
        <v>18.126000000000001</v>
      </c>
      <c r="H363" s="96">
        <v>0.44</v>
      </c>
      <c r="I363" s="97">
        <v>0.59050000000000002</v>
      </c>
      <c r="J363" s="95">
        <v>1.2999999999999999E-2</v>
      </c>
      <c r="K363" s="96">
        <v>0.58694999999999997</v>
      </c>
      <c r="M363" s="99">
        <v>2991.2</v>
      </c>
      <c r="N363" s="98">
        <v>52</v>
      </c>
      <c r="O363" s="99">
        <v>3004</v>
      </c>
      <c r="P363" s="98">
        <v>3.3</v>
      </c>
      <c r="Q363" s="93">
        <v>0.43</v>
      </c>
      <c r="R363" s="97">
        <v>2.4099999999999998E-3</v>
      </c>
      <c r="T363" s="98">
        <v>410</v>
      </c>
      <c r="U363" s="98">
        <v>130</v>
      </c>
      <c r="V363" s="98">
        <v>0.1</v>
      </c>
      <c r="W363" s="98">
        <v>1.2</v>
      </c>
      <c r="X363" s="98">
        <v>0.36</v>
      </c>
      <c r="Y363" s="98">
        <v>0.21</v>
      </c>
      <c r="Z363" s="98">
        <v>2.35</v>
      </c>
      <c r="AA363" s="98">
        <v>0.45</v>
      </c>
      <c r="AB363" s="98">
        <v>0.81</v>
      </c>
      <c r="AC363" s="98">
        <v>0.42</v>
      </c>
      <c r="AD363" s="98">
        <v>720</v>
      </c>
      <c r="AE363" s="98">
        <v>110</v>
      </c>
      <c r="AF363" s="95">
        <v>3.2000000000000001E-2</v>
      </c>
      <c r="AG363" s="97">
        <v>2.1000000000000001E-2</v>
      </c>
      <c r="AH363" s="96">
        <v>27</v>
      </c>
      <c r="AI363" s="96">
        <v>3.7</v>
      </c>
      <c r="AJ363" s="95">
        <v>8.1000000000000003E-2</v>
      </c>
      <c r="AK363" s="95">
        <v>3.4000000000000002E-2</v>
      </c>
      <c r="AL363" s="96">
        <v>1.18</v>
      </c>
      <c r="AM363" s="96">
        <v>0.4</v>
      </c>
      <c r="AN363" s="96">
        <v>4.3</v>
      </c>
      <c r="AO363" s="96">
        <v>1.3</v>
      </c>
      <c r="AP363" s="96">
        <v>0.67</v>
      </c>
      <c r="AQ363" s="96">
        <v>0.22</v>
      </c>
      <c r="AR363" s="96">
        <v>20.2</v>
      </c>
      <c r="AS363" s="93">
        <v>4.7</v>
      </c>
      <c r="AT363" s="96">
        <v>6.9</v>
      </c>
      <c r="AU363" s="96">
        <v>1.3</v>
      </c>
      <c r="AV363" s="99">
        <v>69.599999999999994</v>
      </c>
      <c r="AW363" s="98">
        <v>7.2</v>
      </c>
      <c r="AX363" s="98">
        <v>25.2</v>
      </c>
      <c r="AY363" s="98">
        <v>3</v>
      </c>
      <c r="AZ363" s="98">
        <v>102.9</v>
      </c>
      <c r="BA363" s="98">
        <v>8</v>
      </c>
      <c r="BB363" s="98">
        <v>21.1</v>
      </c>
      <c r="BC363" s="98">
        <v>2.9</v>
      </c>
      <c r="BD363" s="98">
        <v>186</v>
      </c>
      <c r="BE363" s="98">
        <v>21</v>
      </c>
      <c r="BF363" s="98">
        <v>35.5</v>
      </c>
      <c r="BG363" s="98">
        <v>2.7</v>
      </c>
      <c r="BI363" s="98">
        <v>10.7</v>
      </c>
      <c r="BJ363" s="98">
        <v>4.3</v>
      </c>
      <c r="BK363" s="98">
        <v>574000</v>
      </c>
      <c r="BL363" s="98">
        <v>74000</v>
      </c>
      <c r="BM363" s="98">
        <v>11200</v>
      </c>
      <c r="BN363" s="98">
        <v>1300</v>
      </c>
      <c r="BO363" s="99">
        <v>194</v>
      </c>
      <c r="BP363" s="98">
        <v>20</v>
      </c>
      <c r="BQ363" s="99">
        <v>194</v>
      </c>
      <c r="BR363" s="98">
        <v>20</v>
      </c>
      <c r="CD363" s="3"/>
      <c r="CE363" s="3"/>
      <c r="CF363" s="3"/>
      <c r="CL363" s="135"/>
    </row>
    <row r="364" spans="1:90" s="98" customFormat="1">
      <c r="A364" s="3" t="s">
        <v>555</v>
      </c>
      <c r="B364" s="3" t="s">
        <v>268</v>
      </c>
      <c r="C364" s="3"/>
      <c r="D364" s="93">
        <v>7.0330000000000004</v>
      </c>
      <c r="E364" s="94">
        <v>0.22409999999999999</v>
      </c>
      <c r="F364" s="94">
        <v>1.1999999999999999E-3</v>
      </c>
      <c r="G364" s="95">
        <v>18.12</v>
      </c>
      <c r="H364" s="96">
        <v>0.45</v>
      </c>
      <c r="I364" s="97">
        <v>0.58760000000000001</v>
      </c>
      <c r="J364" s="95">
        <v>1.2999999999999999E-2</v>
      </c>
      <c r="K364" s="96">
        <v>0.54605999999999999</v>
      </c>
      <c r="M364" s="99">
        <v>2979.6</v>
      </c>
      <c r="N364" s="98">
        <v>52</v>
      </c>
      <c r="O364" s="99">
        <v>3009.6</v>
      </c>
      <c r="P364" s="98">
        <v>4.4000000000000004</v>
      </c>
      <c r="Q364" s="93">
        <v>0.99</v>
      </c>
      <c r="R364" s="97">
        <v>4.3E-3</v>
      </c>
      <c r="T364" s="98">
        <v>280</v>
      </c>
      <c r="U364" s="98">
        <v>130</v>
      </c>
      <c r="V364" s="98">
        <v>0.42</v>
      </c>
      <c r="W364" s="98">
        <v>0.82</v>
      </c>
      <c r="X364" s="98">
        <v>0.11</v>
      </c>
      <c r="Y364" s="98">
        <v>0.15</v>
      </c>
      <c r="Z364" s="98">
        <v>1.99</v>
      </c>
      <c r="AA364" s="98">
        <v>0.52</v>
      </c>
      <c r="AB364" s="98">
        <v>0.5</v>
      </c>
      <c r="AC364" s="98">
        <v>0.25</v>
      </c>
      <c r="AD364" s="98">
        <v>712</v>
      </c>
      <c r="AE364" s="98">
        <v>50</v>
      </c>
      <c r="AF364" s="95">
        <v>0.32</v>
      </c>
      <c r="AG364" s="97">
        <v>0.12</v>
      </c>
      <c r="AH364" s="96">
        <v>28.1</v>
      </c>
      <c r="AI364" s="96">
        <v>1.9</v>
      </c>
      <c r="AJ364" s="95">
        <v>6.7000000000000004E-2</v>
      </c>
      <c r="AK364" s="95">
        <v>3.5000000000000003E-2</v>
      </c>
      <c r="AL364" s="96">
        <v>1.53</v>
      </c>
      <c r="AM364" s="96">
        <v>0.51</v>
      </c>
      <c r="AN364" s="96">
        <v>4.09</v>
      </c>
      <c r="AO364" s="96">
        <v>0.84</v>
      </c>
      <c r="AP364" s="96">
        <v>0.48</v>
      </c>
      <c r="AQ364" s="96">
        <v>0.21</v>
      </c>
      <c r="AR364" s="96">
        <v>18.2</v>
      </c>
      <c r="AS364" s="93">
        <v>2</v>
      </c>
      <c r="AT364" s="96">
        <v>5.85</v>
      </c>
      <c r="AU364" s="96">
        <v>0.65</v>
      </c>
      <c r="AV364" s="99">
        <v>63.4</v>
      </c>
      <c r="AW364" s="98">
        <v>6.6</v>
      </c>
      <c r="AX364" s="98">
        <v>22.4</v>
      </c>
      <c r="AY364" s="98">
        <v>1.8</v>
      </c>
      <c r="AZ364" s="98">
        <v>97.6</v>
      </c>
      <c r="BA364" s="98">
        <v>6</v>
      </c>
      <c r="BB364" s="98">
        <v>17.899999999999999</v>
      </c>
      <c r="BC364" s="98">
        <v>1.3</v>
      </c>
      <c r="BD364" s="98">
        <v>163</v>
      </c>
      <c r="BE364" s="98">
        <v>13</v>
      </c>
      <c r="BF364" s="98">
        <v>31.4</v>
      </c>
      <c r="BG364" s="98">
        <v>3.3</v>
      </c>
      <c r="BI364" s="98">
        <v>11.5</v>
      </c>
      <c r="BJ364" s="98">
        <v>3</v>
      </c>
      <c r="BK364" s="98">
        <v>550000</v>
      </c>
      <c r="BL364" s="98">
        <v>32000</v>
      </c>
      <c r="BM364" s="98">
        <v>10460</v>
      </c>
      <c r="BN364" s="98">
        <v>710</v>
      </c>
      <c r="BO364" s="99">
        <v>169.9</v>
      </c>
      <c r="BP364" s="98">
        <v>8.9</v>
      </c>
      <c r="BQ364" s="99">
        <v>171.5</v>
      </c>
      <c r="BR364" s="98">
        <v>8.6</v>
      </c>
      <c r="CD364" s="3"/>
      <c r="CE364" s="3"/>
      <c r="CF364" s="3"/>
    </row>
    <row r="365" spans="1:90" s="98" customFormat="1">
      <c r="A365" s="3" t="s">
        <v>556</v>
      </c>
      <c r="B365" s="3" t="s">
        <v>268</v>
      </c>
      <c r="C365" s="3"/>
      <c r="D365" s="93">
        <v>7.032</v>
      </c>
      <c r="E365" s="94">
        <v>0.2243</v>
      </c>
      <c r="F365" s="94">
        <v>1.4E-3</v>
      </c>
      <c r="G365" s="95">
        <v>18.239999999999998</v>
      </c>
      <c r="H365" s="96">
        <v>0.45</v>
      </c>
      <c r="I365" s="97">
        <v>0.59119999999999995</v>
      </c>
      <c r="J365" s="95">
        <v>1.2999999999999999E-2</v>
      </c>
      <c r="K365" s="96">
        <v>0.50395000000000001</v>
      </c>
      <c r="M365" s="99">
        <v>2994</v>
      </c>
      <c r="N365" s="98">
        <v>52</v>
      </c>
      <c r="O365" s="99">
        <v>3011.9</v>
      </c>
      <c r="P365" s="98">
        <v>3.8</v>
      </c>
      <c r="Q365" s="93">
        <v>0.57999999999999996</v>
      </c>
      <c r="R365" s="97">
        <v>3.7000000000000002E-3</v>
      </c>
      <c r="T365" s="98">
        <v>324</v>
      </c>
      <c r="U365" s="98">
        <v>91</v>
      </c>
      <c r="V365" s="98" t="s">
        <v>250</v>
      </c>
      <c r="W365" s="98" t="s">
        <v>250</v>
      </c>
      <c r="X365" s="98">
        <v>0.3</v>
      </c>
      <c r="Y365" s="98">
        <v>0.21</v>
      </c>
      <c r="Z365" s="98">
        <v>2.37</v>
      </c>
      <c r="AA365" s="98">
        <v>0.57999999999999996</v>
      </c>
      <c r="AB365" s="98">
        <v>0.49</v>
      </c>
      <c r="AC365" s="98">
        <v>0.31</v>
      </c>
      <c r="AD365" s="98">
        <v>718</v>
      </c>
      <c r="AE365" s="98">
        <v>67</v>
      </c>
      <c r="AF365" s="95">
        <v>6.5000000000000002E-2</v>
      </c>
      <c r="AG365" s="97">
        <v>3.2000000000000001E-2</v>
      </c>
      <c r="AH365" s="96">
        <v>23.4</v>
      </c>
      <c r="AI365" s="96">
        <v>2.4</v>
      </c>
      <c r="AJ365" s="95">
        <v>0.112</v>
      </c>
      <c r="AK365" s="95">
        <v>3.6999999999999998E-2</v>
      </c>
      <c r="AL365" s="96">
        <v>1.1299999999999999</v>
      </c>
      <c r="AM365" s="96">
        <v>0.66</v>
      </c>
      <c r="AN365" s="96">
        <v>3.7</v>
      </c>
      <c r="AO365" s="96">
        <v>1.1000000000000001</v>
      </c>
      <c r="AP365" s="96">
        <v>0.48</v>
      </c>
      <c r="AQ365" s="96">
        <v>0.12</v>
      </c>
      <c r="AR365" s="96">
        <v>18.8</v>
      </c>
      <c r="AS365" s="93">
        <v>3.7</v>
      </c>
      <c r="AT365" s="96">
        <v>5.54</v>
      </c>
      <c r="AU365" s="96">
        <v>0.63</v>
      </c>
      <c r="AV365" s="99">
        <v>68.7</v>
      </c>
      <c r="AW365" s="98">
        <v>8.1999999999999993</v>
      </c>
      <c r="AX365" s="98">
        <v>24.8</v>
      </c>
      <c r="AY365" s="98">
        <v>2</v>
      </c>
      <c r="AZ365" s="98">
        <v>108.9</v>
      </c>
      <c r="BA365" s="98">
        <v>8.3000000000000007</v>
      </c>
      <c r="BB365" s="98">
        <v>23.8</v>
      </c>
      <c r="BC365" s="98">
        <v>2.8</v>
      </c>
      <c r="BD365" s="98">
        <v>212</v>
      </c>
      <c r="BE365" s="98">
        <v>22</v>
      </c>
      <c r="BF365" s="98">
        <v>41.2</v>
      </c>
      <c r="BG365" s="98">
        <v>4.4000000000000004</v>
      </c>
      <c r="BI365" s="98">
        <v>12</v>
      </c>
      <c r="BJ365" s="98">
        <v>3.5</v>
      </c>
      <c r="BK365" s="98">
        <v>539000</v>
      </c>
      <c r="BL365" s="98">
        <v>67000</v>
      </c>
      <c r="BM365" s="98">
        <v>10600</v>
      </c>
      <c r="BN365" s="98">
        <v>1100</v>
      </c>
      <c r="BO365" s="99">
        <v>118</v>
      </c>
      <c r="BP365" s="98">
        <v>11</v>
      </c>
      <c r="BQ365" s="99">
        <v>119</v>
      </c>
      <c r="BR365" s="98">
        <v>11</v>
      </c>
      <c r="CD365" s="3"/>
      <c r="CE365" s="3"/>
      <c r="CF365" s="3"/>
      <c r="CL365" s="135"/>
    </row>
    <row r="366" spans="1:90" s="98" customFormat="1">
      <c r="A366" s="3" t="s">
        <v>557</v>
      </c>
      <c r="B366" s="3" t="s">
        <v>268</v>
      </c>
      <c r="C366" s="3"/>
      <c r="D366" s="93">
        <v>7.2460000000000004</v>
      </c>
      <c r="E366" s="94">
        <v>0.22259999999999999</v>
      </c>
      <c r="F366" s="94">
        <v>1.6000000000000001E-3</v>
      </c>
      <c r="G366" s="95">
        <v>18.03</v>
      </c>
      <c r="H366" s="96">
        <v>0.45</v>
      </c>
      <c r="I366" s="97">
        <v>0.58930000000000005</v>
      </c>
      <c r="J366" s="95">
        <v>1.2999999999999999E-2</v>
      </c>
      <c r="K366" s="96">
        <v>0.67954999999999999</v>
      </c>
      <c r="M366" s="99">
        <v>2986.5</v>
      </c>
      <c r="N366" s="98">
        <v>52</v>
      </c>
      <c r="O366" s="99">
        <v>3000.3</v>
      </c>
      <c r="P366" s="98">
        <v>4.7</v>
      </c>
      <c r="Q366" s="93">
        <v>0.54</v>
      </c>
      <c r="R366" s="97">
        <v>2.3999999999999998E-3</v>
      </c>
      <c r="T366" s="98">
        <v>327</v>
      </c>
      <c r="U366" s="98">
        <v>96</v>
      </c>
      <c r="V366" s="98" t="s">
        <v>250</v>
      </c>
      <c r="W366" s="98" t="s">
        <v>250</v>
      </c>
      <c r="X366" s="98">
        <v>0.27</v>
      </c>
      <c r="Y366" s="98">
        <v>0.21</v>
      </c>
      <c r="Z366" s="98">
        <v>2.68</v>
      </c>
      <c r="AA366" s="98">
        <v>0.64</v>
      </c>
      <c r="AB366" s="98">
        <v>0.37</v>
      </c>
      <c r="AC366" s="98">
        <v>0.26</v>
      </c>
      <c r="AD366" s="98">
        <v>774</v>
      </c>
      <c r="AE366" s="98">
        <v>75</v>
      </c>
      <c r="AF366" s="95">
        <v>0.23200000000000001</v>
      </c>
      <c r="AG366" s="97">
        <v>5.1999999999999998E-2</v>
      </c>
      <c r="AH366" s="96">
        <v>24.6</v>
      </c>
      <c r="AI366" s="96">
        <v>2.2000000000000002</v>
      </c>
      <c r="AJ366" s="95">
        <v>0.25800000000000001</v>
      </c>
      <c r="AK366" s="95">
        <v>5.1999999999999998E-2</v>
      </c>
      <c r="AL366" s="96">
        <v>1.6</v>
      </c>
      <c r="AM366" s="96">
        <v>0.63</v>
      </c>
      <c r="AN366" s="96">
        <v>3.79</v>
      </c>
      <c r="AO366" s="96">
        <v>0.82</v>
      </c>
      <c r="AP366" s="96">
        <v>0.56000000000000005</v>
      </c>
      <c r="AQ366" s="96">
        <v>0.22</v>
      </c>
      <c r="AR366" s="96">
        <v>18</v>
      </c>
      <c r="AS366" s="93">
        <v>3.3</v>
      </c>
      <c r="AT366" s="96">
        <v>5.91</v>
      </c>
      <c r="AU366" s="96">
        <v>0.79</v>
      </c>
      <c r="AV366" s="99">
        <v>69.599999999999994</v>
      </c>
      <c r="AW366" s="98">
        <v>7.1</v>
      </c>
      <c r="AX366" s="98">
        <v>25.4</v>
      </c>
      <c r="AY366" s="98">
        <v>2.2999999999999998</v>
      </c>
      <c r="AZ366" s="98">
        <v>117</v>
      </c>
      <c r="BA366" s="98">
        <v>11</v>
      </c>
      <c r="BB366" s="98">
        <v>23.7</v>
      </c>
      <c r="BC366" s="98">
        <v>2.7</v>
      </c>
      <c r="BD366" s="98">
        <v>209</v>
      </c>
      <c r="BE366" s="98">
        <v>16</v>
      </c>
      <c r="BF366" s="98">
        <v>40.799999999999997</v>
      </c>
      <c r="BG366" s="98">
        <v>3.4</v>
      </c>
      <c r="BI366" s="98">
        <v>12.8</v>
      </c>
      <c r="BJ366" s="98">
        <v>3.5</v>
      </c>
      <c r="BK366" s="98">
        <v>515000</v>
      </c>
      <c r="BL366" s="98">
        <v>41000</v>
      </c>
      <c r="BM366" s="98">
        <v>10400</v>
      </c>
      <c r="BN366" s="98">
        <v>790</v>
      </c>
      <c r="BO366" s="99">
        <v>122</v>
      </c>
      <c r="BP366" s="98">
        <v>10</v>
      </c>
      <c r="BQ366" s="99">
        <v>116</v>
      </c>
      <c r="BR366" s="98">
        <v>10</v>
      </c>
      <c r="CD366" s="3"/>
      <c r="CE366" s="3"/>
      <c r="CF366" s="3"/>
    </row>
    <row r="367" spans="1:90" s="98" customFormat="1">
      <c r="A367" s="3" t="s">
        <v>558</v>
      </c>
      <c r="B367" s="3" t="s">
        <v>268</v>
      </c>
      <c r="C367" s="3"/>
      <c r="D367" s="93">
        <v>7.0190000000000001</v>
      </c>
      <c r="E367" s="94">
        <v>0.22309999999999999</v>
      </c>
      <c r="F367" s="94">
        <v>1.2999999999999999E-3</v>
      </c>
      <c r="G367" s="95">
        <v>18.190000000000001</v>
      </c>
      <c r="H367" s="96">
        <v>0.45</v>
      </c>
      <c r="I367" s="97">
        <v>0.59330000000000005</v>
      </c>
      <c r="J367" s="95">
        <v>1.2999999999999999E-2</v>
      </c>
      <c r="K367" s="96">
        <v>0.67401</v>
      </c>
      <c r="M367" s="99">
        <v>3002.6</v>
      </c>
      <c r="N367" s="98">
        <v>52</v>
      </c>
      <c r="O367" s="99">
        <v>3002.7</v>
      </c>
      <c r="P367" s="98">
        <v>4.5999999999999996</v>
      </c>
      <c r="Q367" s="93">
        <v>0</v>
      </c>
      <c r="R367" s="97">
        <v>1.4E-3</v>
      </c>
      <c r="T367" s="98">
        <v>416</v>
      </c>
      <c r="U367" s="98">
        <v>96</v>
      </c>
      <c r="V367" s="98">
        <v>0.4</v>
      </c>
      <c r="W367" s="98">
        <v>1.1000000000000001</v>
      </c>
      <c r="X367" s="98">
        <v>0.36</v>
      </c>
      <c r="Y367" s="98">
        <v>0.22</v>
      </c>
      <c r="Z367" s="98">
        <v>1.47</v>
      </c>
      <c r="AA367" s="98">
        <v>0.55000000000000004</v>
      </c>
      <c r="AB367" s="98">
        <v>0.46</v>
      </c>
      <c r="AC367" s="98">
        <v>0.25</v>
      </c>
      <c r="AD367" s="98">
        <v>732</v>
      </c>
      <c r="AE367" s="98">
        <v>63</v>
      </c>
      <c r="AF367" s="95">
        <v>0.28999999999999998</v>
      </c>
      <c r="AG367" s="97">
        <v>0.1</v>
      </c>
      <c r="AH367" s="96">
        <v>25.7</v>
      </c>
      <c r="AI367" s="96">
        <v>4.3</v>
      </c>
      <c r="AJ367" s="95">
        <v>0.21</v>
      </c>
      <c r="AK367" s="95">
        <v>0.1</v>
      </c>
      <c r="AL367" s="96">
        <v>2.2000000000000002</v>
      </c>
      <c r="AM367" s="96">
        <v>0.75</v>
      </c>
      <c r="AN367" s="96">
        <v>3.51</v>
      </c>
      <c r="AO367" s="96">
        <v>0.92</v>
      </c>
      <c r="AP367" s="96">
        <v>0.4</v>
      </c>
      <c r="AQ367" s="96">
        <v>0.21</v>
      </c>
      <c r="AR367" s="96">
        <v>18.100000000000001</v>
      </c>
      <c r="AS367" s="93">
        <v>2.7</v>
      </c>
      <c r="AT367" s="96">
        <v>5.99</v>
      </c>
      <c r="AU367" s="96">
        <v>0.72</v>
      </c>
      <c r="AV367" s="99">
        <v>65.599999999999994</v>
      </c>
      <c r="AW367" s="98">
        <v>5.7</v>
      </c>
      <c r="AX367" s="98">
        <v>23.8</v>
      </c>
      <c r="AY367" s="98">
        <v>1.8</v>
      </c>
      <c r="AZ367" s="98">
        <v>114</v>
      </c>
      <c r="BA367" s="98">
        <v>13</v>
      </c>
      <c r="BB367" s="98">
        <v>22.5</v>
      </c>
      <c r="BC367" s="98">
        <v>2.4</v>
      </c>
      <c r="BD367" s="98">
        <v>199</v>
      </c>
      <c r="BE367" s="98">
        <v>20</v>
      </c>
      <c r="BF367" s="98">
        <v>39</v>
      </c>
      <c r="BG367" s="98">
        <v>3.1</v>
      </c>
      <c r="BI367" s="98">
        <v>11.1</v>
      </c>
      <c r="BJ367" s="98">
        <v>2.7</v>
      </c>
      <c r="BK367" s="98">
        <v>512000</v>
      </c>
      <c r="BL367" s="98">
        <v>42000</v>
      </c>
      <c r="BM367" s="98">
        <v>10060</v>
      </c>
      <c r="BN367" s="98">
        <v>600</v>
      </c>
      <c r="BO367" s="99">
        <v>122.6</v>
      </c>
      <c r="BP367" s="98">
        <v>8.6999999999999993</v>
      </c>
      <c r="BQ367" s="99">
        <v>116.5</v>
      </c>
      <c r="BR367" s="98">
        <v>8.6</v>
      </c>
      <c r="CD367" s="3"/>
      <c r="CE367" s="3"/>
      <c r="CF367" s="3"/>
    </row>
    <row r="368" spans="1:90" s="326" customFormat="1">
      <c r="A368" s="319" t="s">
        <v>559</v>
      </c>
      <c r="B368" s="320" t="s">
        <v>268</v>
      </c>
      <c r="C368" s="319"/>
      <c r="D368" s="321">
        <v>7.0140000000000002</v>
      </c>
      <c r="E368" s="322">
        <v>0.22259999999999999</v>
      </c>
      <c r="F368" s="322">
        <v>1E-3</v>
      </c>
      <c r="G368" s="323">
        <v>18.21</v>
      </c>
      <c r="H368" s="324">
        <v>0.44</v>
      </c>
      <c r="I368" s="325">
        <v>0.59379999999999999</v>
      </c>
      <c r="J368" s="323">
        <v>1.2999999999999999E-2</v>
      </c>
      <c r="K368" s="324">
        <v>0.53749000000000002</v>
      </c>
      <c r="M368" s="327">
        <v>3004.8</v>
      </c>
      <c r="N368" s="326">
        <v>52</v>
      </c>
      <c r="O368" s="327">
        <v>2999.1</v>
      </c>
      <c r="P368" s="326">
        <v>2.1</v>
      </c>
      <c r="Q368" s="321">
        <v>-0.16</v>
      </c>
      <c r="R368" s="325">
        <v>3.2000000000000003E-4</v>
      </c>
      <c r="T368" s="328">
        <v>395</v>
      </c>
      <c r="U368" s="328">
        <v>99</v>
      </c>
      <c r="V368" s="328">
        <v>0.19</v>
      </c>
      <c r="W368" s="328">
        <v>0.98</v>
      </c>
      <c r="X368" s="328">
        <v>0.32</v>
      </c>
      <c r="Y368" s="328">
        <v>0.22</v>
      </c>
      <c r="Z368" s="328">
        <v>2.08</v>
      </c>
      <c r="AA368" s="328">
        <v>0.62</v>
      </c>
      <c r="AB368" s="328">
        <v>0.61</v>
      </c>
      <c r="AC368" s="328">
        <v>0.21</v>
      </c>
      <c r="AD368" s="328">
        <v>615</v>
      </c>
      <c r="AE368" s="328">
        <v>56</v>
      </c>
      <c r="AF368" s="329">
        <v>4.5999999999999999E-2</v>
      </c>
      <c r="AG368" s="330">
        <v>1.7000000000000001E-2</v>
      </c>
      <c r="AH368" s="331">
        <v>23.7</v>
      </c>
      <c r="AI368" s="331">
        <v>1.9</v>
      </c>
      <c r="AJ368" s="329">
        <v>0.112</v>
      </c>
      <c r="AK368" s="329">
        <v>5.8999999999999997E-2</v>
      </c>
      <c r="AL368" s="331">
        <v>2.23</v>
      </c>
      <c r="AM368" s="331">
        <v>0.55000000000000004</v>
      </c>
      <c r="AN368" s="331">
        <v>3.6</v>
      </c>
      <c r="AO368" s="331">
        <v>1.3</v>
      </c>
      <c r="AP368" s="331">
        <v>0.39</v>
      </c>
      <c r="AQ368" s="331">
        <v>0.15</v>
      </c>
      <c r="AR368" s="331">
        <v>18.7</v>
      </c>
      <c r="AS368" s="332">
        <v>3.3</v>
      </c>
      <c r="AT368" s="331">
        <v>6.17</v>
      </c>
      <c r="AU368" s="331">
        <v>0.79</v>
      </c>
      <c r="AV368" s="333">
        <v>64.900000000000006</v>
      </c>
      <c r="AW368" s="328">
        <v>6.5</v>
      </c>
      <c r="AX368" s="328">
        <v>21</v>
      </c>
      <c r="AY368" s="328">
        <v>1.6</v>
      </c>
      <c r="AZ368" s="328">
        <v>98.8</v>
      </c>
      <c r="BA368" s="328">
        <v>7.2</v>
      </c>
      <c r="BB368" s="328">
        <v>19.600000000000001</v>
      </c>
      <c r="BC368" s="328">
        <v>1.4</v>
      </c>
      <c r="BD368" s="328">
        <v>167</v>
      </c>
      <c r="BE368" s="328">
        <v>17</v>
      </c>
      <c r="BF368" s="328">
        <v>32.6</v>
      </c>
      <c r="BG368" s="328">
        <v>2.6</v>
      </c>
      <c r="BH368" s="328"/>
      <c r="BI368" s="328">
        <v>9.8000000000000007</v>
      </c>
      <c r="BJ368" s="328">
        <v>2.5</v>
      </c>
      <c r="BK368" s="328">
        <v>486000</v>
      </c>
      <c r="BL368" s="328">
        <v>42000</v>
      </c>
      <c r="BM368" s="328">
        <v>10390</v>
      </c>
      <c r="BN368" s="328">
        <v>640</v>
      </c>
      <c r="BO368" s="333">
        <v>169</v>
      </c>
      <c r="BP368" s="328">
        <v>8.9</v>
      </c>
      <c r="BQ368" s="333">
        <v>173.3</v>
      </c>
      <c r="BR368" s="328">
        <v>9.5</v>
      </c>
      <c r="BS368" s="328"/>
      <c r="BT368" s="328"/>
      <c r="BU368" s="328"/>
      <c r="BV368" s="328"/>
      <c r="BW368" s="328"/>
      <c r="BX368" s="328"/>
      <c r="BY368" s="328"/>
      <c r="BZ368" s="328"/>
      <c r="CA368" s="328"/>
      <c r="CD368" s="320"/>
      <c r="CE368" s="320"/>
      <c r="CF368" s="320"/>
      <c r="CI368" s="328"/>
      <c r="CL368" s="328"/>
    </row>
    <row r="369" spans="1:90" s="142" customFormat="1">
      <c r="A369" s="136"/>
      <c r="B369" s="136"/>
      <c r="C369" s="136"/>
      <c r="D369" s="137"/>
      <c r="E369" s="138"/>
      <c r="F369" s="138"/>
      <c r="G369" s="139"/>
      <c r="H369" s="140"/>
      <c r="I369" s="141"/>
      <c r="J369" s="139"/>
      <c r="K369" s="140"/>
      <c r="M369" s="143"/>
      <c r="O369" s="143"/>
      <c r="R369" s="141"/>
      <c r="T369" s="98"/>
      <c r="U369" s="98"/>
      <c r="V369" s="98"/>
      <c r="W369" s="98"/>
      <c r="X369" s="98"/>
      <c r="Y369" s="98"/>
      <c r="Z369" s="98"/>
      <c r="AA369" s="98"/>
      <c r="AB369" s="98"/>
      <c r="AC369" s="98"/>
      <c r="AD369" s="98"/>
      <c r="AE369" s="98"/>
      <c r="AF369" s="95"/>
      <c r="AG369" s="98"/>
      <c r="AH369" s="96"/>
      <c r="AI369" s="96"/>
      <c r="AJ369" s="95"/>
      <c r="AK369" s="95"/>
      <c r="AL369" s="96"/>
      <c r="AM369" s="96"/>
      <c r="AN369" s="96"/>
      <c r="AO369" s="96"/>
      <c r="AP369" s="96"/>
      <c r="AQ369" s="96"/>
      <c r="AR369" s="96"/>
      <c r="AS369" s="93"/>
      <c r="AT369" s="96"/>
      <c r="AU369" s="96"/>
      <c r="AV369" s="99"/>
      <c r="AW369" s="98"/>
      <c r="AX369" s="98"/>
      <c r="AY369" s="98"/>
      <c r="AZ369" s="98"/>
      <c r="BA369" s="98"/>
      <c r="BB369" s="98"/>
      <c r="BC369" s="98"/>
      <c r="BD369" s="98"/>
      <c r="BE369" s="98"/>
      <c r="BF369" s="98"/>
      <c r="BG369" s="98"/>
      <c r="BH369" s="98"/>
      <c r="BI369" s="98"/>
      <c r="BJ369" s="98"/>
      <c r="BK369" s="98"/>
      <c r="BL369" s="98"/>
      <c r="BM369" s="98"/>
      <c r="BN369" s="98"/>
      <c r="BO369" s="99"/>
      <c r="BP369" s="98"/>
      <c r="BQ369" s="99"/>
      <c r="BR369" s="98"/>
      <c r="BS369" s="98"/>
      <c r="BT369" s="98"/>
      <c r="BU369" s="98"/>
      <c r="BV369" s="98"/>
      <c r="BW369" s="98"/>
      <c r="BX369" s="98"/>
      <c r="BY369" s="98"/>
      <c r="BZ369" s="98"/>
      <c r="CA369" s="98"/>
      <c r="CD369" s="3"/>
      <c r="CE369" s="3"/>
      <c r="CF369" s="3"/>
      <c r="CI369" s="98"/>
      <c r="CL369" s="98"/>
    </row>
    <row r="370" spans="1:90" s="98" customFormat="1">
      <c r="A370" s="3"/>
      <c r="B370" s="3"/>
      <c r="C370" s="3"/>
      <c r="D370" s="93"/>
      <c r="E370" s="94"/>
      <c r="F370" s="94"/>
      <c r="G370" s="95"/>
      <c r="H370" s="96"/>
      <c r="I370" s="97"/>
      <c r="J370" s="95"/>
      <c r="K370" s="96"/>
      <c r="M370" s="99"/>
      <c r="O370" s="99"/>
      <c r="R370" s="97"/>
      <c r="AF370" s="95"/>
      <c r="AH370" s="96"/>
      <c r="AI370" s="96"/>
      <c r="AJ370" s="95"/>
      <c r="AK370" s="95"/>
      <c r="AL370" s="96"/>
      <c r="AM370" s="96"/>
      <c r="AN370" s="96"/>
      <c r="AO370" s="96"/>
      <c r="AP370" s="96"/>
      <c r="AQ370" s="96"/>
      <c r="AR370" s="96"/>
      <c r="AS370" s="93"/>
      <c r="AT370" s="96"/>
      <c r="AU370" s="96"/>
      <c r="AV370" s="99"/>
      <c r="BI370" s="93"/>
      <c r="BO370" s="99"/>
      <c r="BQ370" s="99"/>
      <c r="CD370" s="3"/>
      <c r="CE370" s="3"/>
      <c r="CF370" s="3"/>
    </row>
    <row r="371" spans="1:90" s="98" customFormat="1">
      <c r="A371" s="3" t="s">
        <v>560</v>
      </c>
      <c r="B371" s="92" t="s">
        <v>244</v>
      </c>
      <c r="C371" s="3"/>
      <c r="D371" s="93">
        <v>11.042</v>
      </c>
      <c r="E371" s="94">
        <v>0.91100000000000003</v>
      </c>
      <c r="F371" s="94">
        <v>4.7999999999999996E-3</v>
      </c>
      <c r="G371" s="95">
        <v>30.73</v>
      </c>
      <c r="H371" s="96">
        <v>0.91</v>
      </c>
      <c r="I371" s="97">
        <v>0.24390000000000001</v>
      </c>
      <c r="J371" s="95">
        <v>6.6E-3</v>
      </c>
      <c r="K371" s="96">
        <v>0.70394000000000001</v>
      </c>
      <c r="M371" s="99">
        <v>1407</v>
      </c>
      <c r="N371" s="98">
        <v>34</v>
      </c>
      <c r="O371" s="99" t="s">
        <v>480</v>
      </c>
      <c r="P371" s="98" t="s">
        <v>481</v>
      </c>
      <c r="Q371" s="98" t="s">
        <v>480</v>
      </c>
      <c r="R371" s="97" t="s">
        <v>480</v>
      </c>
      <c r="T371" s="98">
        <v>370</v>
      </c>
      <c r="U371" s="98">
        <v>150</v>
      </c>
      <c r="V371" s="98">
        <v>421</v>
      </c>
      <c r="W371" s="98">
        <v>29</v>
      </c>
      <c r="X371" s="98">
        <v>490</v>
      </c>
      <c r="Y371" s="98">
        <v>30</v>
      </c>
      <c r="Z371" s="98">
        <v>439</v>
      </c>
      <c r="AA371" s="98">
        <v>37</v>
      </c>
      <c r="AB371" s="98">
        <v>436</v>
      </c>
      <c r="AC371" s="98">
        <v>39</v>
      </c>
      <c r="AD371" s="98">
        <v>441</v>
      </c>
      <c r="AE371" s="98">
        <v>33</v>
      </c>
      <c r="AF371" s="95">
        <v>413</v>
      </c>
      <c r="AG371" s="98">
        <v>22</v>
      </c>
      <c r="AH371" s="96">
        <v>437</v>
      </c>
      <c r="AI371" s="96">
        <v>37</v>
      </c>
      <c r="AJ371" s="95">
        <v>411</v>
      </c>
      <c r="AK371" s="95">
        <v>27</v>
      </c>
      <c r="AL371" s="96">
        <v>408</v>
      </c>
      <c r="AM371" s="96">
        <v>31</v>
      </c>
      <c r="AN371" s="96">
        <v>417</v>
      </c>
      <c r="AO371" s="96">
        <v>35</v>
      </c>
      <c r="AP371" s="96">
        <v>415</v>
      </c>
      <c r="AQ371" s="96">
        <v>33</v>
      </c>
      <c r="AR371" s="96">
        <v>430</v>
      </c>
      <c r="AS371" s="93">
        <v>53</v>
      </c>
      <c r="AT371" s="96">
        <v>418</v>
      </c>
      <c r="AU371" s="96">
        <v>45</v>
      </c>
      <c r="AV371" s="99">
        <v>412</v>
      </c>
      <c r="AW371" s="98">
        <v>35</v>
      </c>
      <c r="AX371" s="98">
        <v>438</v>
      </c>
      <c r="AY371" s="98">
        <v>38</v>
      </c>
      <c r="AZ371" s="98">
        <v>432</v>
      </c>
      <c r="BA371" s="98">
        <v>34</v>
      </c>
      <c r="BB371" s="98">
        <v>407</v>
      </c>
      <c r="BC371" s="98">
        <v>37</v>
      </c>
      <c r="BD371" s="98">
        <v>430</v>
      </c>
      <c r="BE371" s="98">
        <v>41</v>
      </c>
      <c r="BF371" s="98">
        <v>426</v>
      </c>
      <c r="BG371" s="98">
        <v>36</v>
      </c>
      <c r="BI371" s="93">
        <v>421</v>
      </c>
      <c r="BJ371" s="98">
        <v>37</v>
      </c>
      <c r="BK371" s="98">
        <v>465</v>
      </c>
      <c r="BL371" s="98">
        <v>43</v>
      </c>
      <c r="BM371" s="98">
        <v>426</v>
      </c>
      <c r="BN371" s="98">
        <v>43</v>
      </c>
      <c r="BO371" s="99">
        <v>446</v>
      </c>
      <c r="BP371" s="98">
        <v>22</v>
      </c>
      <c r="BQ371" s="99">
        <v>449</v>
      </c>
      <c r="BR371" s="98">
        <v>23</v>
      </c>
      <c r="CD371" s="3"/>
      <c r="CE371" s="3"/>
      <c r="CF371" s="3"/>
    </row>
    <row r="372" spans="1:90" s="98" customFormat="1">
      <c r="A372" s="3" t="s">
        <v>561</v>
      </c>
      <c r="B372" s="92" t="s">
        <v>244</v>
      </c>
      <c r="C372" s="3"/>
      <c r="D372" s="93">
        <v>11.013999999999999</v>
      </c>
      <c r="E372" s="94">
        <v>0.91180000000000005</v>
      </c>
      <c r="F372" s="94">
        <v>5.7999999999999996E-3</v>
      </c>
      <c r="G372" s="95">
        <v>30.72</v>
      </c>
      <c r="H372" s="96">
        <v>0.91</v>
      </c>
      <c r="I372" s="97">
        <v>0.24365999999999999</v>
      </c>
      <c r="J372" s="95">
        <v>6.6E-3</v>
      </c>
      <c r="K372" s="96">
        <v>0.51365000000000005</v>
      </c>
      <c r="M372" s="99">
        <v>1405.7</v>
      </c>
      <c r="N372" s="98">
        <v>34</v>
      </c>
      <c r="O372" s="99" t="s">
        <v>480</v>
      </c>
      <c r="P372" s="98" t="s">
        <v>481</v>
      </c>
      <c r="Q372" s="98" t="s">
        <v>480</v>
      </c>
      <c r="R372" s="97" t="s">
        <v>480</v>
      </c>
      <c r="T372" s="98">
        <v>330</v>
      </c>
      <c r="U372" s="98">
        <v>230</v>
      </c>
      <c r="V372" s="98">
        <v>482</v>
      </c>
      <c r="W372" s="98">
        <v>42</v>
      </c>
      <c r="X372" s="98">
        <v>542</v>
      </c>
      <c r="Y372" s="98">
        <v>46</v>
      </c>
      <c r="Z372" s="98">
        <v>480</v>
      </c>
      <c r="AA372" s="98">
        <v>35</v>
      </c>
      <c r="AB372" s="98">
        <v>461</v>
      </c>
      <c r="AC372" s="98">
        <v>50</v>
      </c>
      <c r="AD372" s="98">
        <v>469</v>
      </c>
      <c r="AE372" s="98">
        <v>37</v>
      </c>
      <c r="AF372" s="95">
        <v>449</v>
      </c>
      <c r="AG372" s="98">
        <v>32</v>
      </c>
      <c r="AH372" s="96">
        <v>483</v>
      </c>
      <c r="AI372" s="96">
        <v>50</v>
      </c>
      <c r="AJ372" s="95">
        <v>452</v>
      </c>
      <c r="AK372" s="95">
        <v>36</v>
      </c>
      <c r="AL372" s="96">
        <v>430</v>
      </c>
      <c r="AM372" s="96">
        <v>37</v>
      </c>
      <c r="AN372" s="96">
        <v>453</v>
      </c>
      <c r="AO372" s="96">
        <v>34</v>
      </c>
      <c r="AP372" s="96">
        <v>458</v>
      </c>
      <c r="AQ372" s="96">
        <v>38</v>
      </c>
      <c r="AR372" s="96">
        <v>439</v>
      </c>
      <c r="AS372" s="93">
        <v>47</v>
      </c>
      <c r="AT372" s="96">
        <v>455</v>
      </c>
      <c r="AU372" s="96">
        <v>44</v>
      </c>
      <c r="AV372" s="99">
        <v>433</v>
      </c>
      <c r="AW372" s="98">
        <v>41</v>
      </c>
      <c r="AX372" s="98">
        <v>451</v>
      </c>
      <c r="AY372" s="98">
        <v>39</v>
      </c>
      <c r="AZ372" s="98">
        <v>446</v>
      </c>
      <c r="BA372" s="98">
        <v>40</v>
      </c>
      <c r="BB372" s="98">
        <v>438</v>
      </c>
      <c r="BC372" s="98">
        <v>36</v>
      </c>
      <c r="BD372" s="98">
        <v>471</v>
      </c>
      <c r="BE372" s="98">
        <v>54</v>
      </c>
      <c r="BF372" s="98">
        <v>445</v>
      </c>
      <c r="BG372" s="98">
        <v>37</v>
      </c>
      <c r="BI372" s="93">
        <v>468</v>
      </c>
      <c r="BJ372" s="98">
        <v>33</v>
      </c>
      <c r="BK372" s="98">
        <v>473</v>
      </c>
      <c r="BL372" s="98">
        <v>50</v>
      </c>
      <c r="BM372" s="98">
        <v>427</v>
      </c>
      <c r="BN372" s="98">
        <v>55</v>
      </c>
      <c r="BO372" s="99">
        <v>489</v>
      </c>
      <c r="BP372" s="98">
        <v>37</v>
      </c>
      <c r="BQ372" s="99">
        <v>492</v>
      </c>
      <c r="BR372" s="98">
        <v>37</v>
      </c>
      <c r="CD372" s="3"/>
      <c r="CE372" s="3"/>
      <c r="CF372" s="3"/>
    </row>
    <row r="373" spans="1:90" s="98" customFormat="1">
      <c r="A373" s="3" t="s">
        <v>562</v>
      </c>
      <c r="B373" s="92" t="s">
        <v>244</v>
      </c>
      <c r="C373" s="3"/>
      <c r="D373" s="93">
        <v>11.013999999999999</v>
      </c>
      <c r="E373" s="94">
        <v>0.91259999999999997</v>
      </c>
      <c r="F373" s="94">
        <v>5.1000000000000004E-3</v>
      </c>
      <c r="G373" s="95">
        <v>30.68</v>
      </c>
      <c r="H373" s="96">
        <v>0.92</v>
      </c>
      <c r="I373" s="97">
        <v>0.24399999999999999</v>
      </c>
      <c r="J373" s="95">
        <v>6.7000000000000002E-3</v>
      </c>
      <c r="K373" s="96">
        <v>0.73799000000000003</v>
      </c>
      <c r="M373" s="99">
        <v>1407.2</v>
      </c>
      <c r="N373" s="98">
        <v>35</v>
      </c>
      <c r="O373" s="99" t="s">
        <v>480</v>
      </c>
      <c r="P373" s="98" t="s">
        <v>481</v>
      </c>
      <c r="Q373" s="98" t="s">
        <v>480</v>
      </c>
      <c r="R373" s="97" t="s">
        <v>480</v>
      </c>
      <c r="T373" s="98">
        <v>530</v>
      </c>
      <c r="U373" s="98">
        <v>230</v>
      </c>
      <c r="V373" s="98">
        <v>448</v>
      </c>
      <c r="W373" s="98">
        <v>31</v>
      </c>
      <c r="X373" s="98">
        <v>519</v>
      </c>
      <c r="Y373" s="98">
        <v>28</v>
      </c>
      <c r="Z373" s="98">
        <v>477</v>
      </c>
      <c r="AA373" s="98">
        <v>39</v>
      </c>
      <c r="AB373" s="98">
        <v>444</v>
      </c>
      <c r="AC373" s="98">
        <v>42</v>
      </c>
      <c r="AD373" s="98">
        <v>458</v>
      </c>
      <c r="AE373" s="98">
        <v>41</v>
      </c>
      <c r="AF373" s="95">
        <v>450</v>
      </c>
      <c r="AG373" s="98">
        <v>23</v>
      </c>
      <c r="AH373" s="96">
        <v>448</v>
      </c>
      <c r="AI373" s="96">
        <v>38</v>
      </c>
      <c r="AJ373" s="95">
        <v>461</v>
      </c>
      <c r="AK373" s="95">
        <v>20</v>
      </c>
      <c r="AL373" s="96">
        <v>438</v>
      </c>
      <c r="AM373" s="96">
        <v>30</v>
      </c>
      <c r="AN373" s="96">
        <v>457</v>
      </c>
      <c r="AO373" s="96">
        <v>35</v>
      </c>
      <c r="AP373" s="96">
        <v>458</v>
      </c>
      <c r="AQ373" s="96">
        <v>38</v>
      </c>
      <c r="AR373" s="96">
        <v>451</v>
      </c>
      <c r="AS373" s="93">
        <v>30</v>
      </c>
      <c r="AT373" s="96">
        <v>435</v>
      </c>
      <c r="AU373" s="96">
        <v>37</v>
      </c>
      <c r="AV373" s="99">
        <v>449</v>
      </c>
      <c r="AW373" s="98">
        <v>24</v>
      </c>
      <c r="AX373" s="98">
        <v>450</v>
      </c>
      <c r="AY373" s="98">
        <v>19</v>
      </c>
      <c r="AZ373" s="98">
        <v>453</v>
      </c>
      <c r="BA373" s="98">
        <v>31</v>
      </c>
      <c r="BB373" s="98">
        <v>461</v>
      </c>
      <c r="BC373" s="98">
        <v>33</v>
      </c>
      <c r="BD373" s="98">
        <v>462</v>
      </c>
      <c r="BE373" s="98">
        <v>34</v>
      </c>
      <c r="BF373" s="98">
        <v>449</v>
      </c>
      <c r="BG373" s="98">
        <v>39</v>
      </c>
      <c r="BI373" s="93">
        <v>448</v>
      </c>
      <c r="BJ373" s="98">
        <v>31</v>
      </c>
      <c r="BK373" s="98">
        <v>427</v>
      </c>
      <c r="BL373" s="98">
        <v>51</v>
      </c>
      <c r="BM373" s="98">
        <v>445</v>
      </c>
      <c r="BN373" s="98">
        <v>50</v>
      </c>
      <c r="BO373" s="99">
        <v>457</v>
      </c>
      <c r="BP373" s="98">
        <v>20</v>
      </c>
      <c r="BQ373" s="99">
        <v>461</v>
      </c>
      <c r="BR373" s="98">
        <v>21</v>
      </c>
      <c r="CD373" s="3"/>
      <c r="CE373" s="3"/>
      <c r="CF373" s="3"/>
    </row>
    <row r="374" spans="1:90" s="98" customFormat="1">
      <c r="A374" s="3" t="s">
        <v>563</v>
      </c>
      <c r="B374" s="92" t="s">
        <v>244</v>
      </c>
      <c r="C374" s="3"/>
      <c r="D374" s="93">
        <v>11.167999999999999</v>
      </c>
      <c r="E374" s="94">
        <v>0.91169999999999995</v>
      </c>
      <c r="F374" s="94">
        <v>5.1999999999999998E-3</v>
      </c>
      <c r="G374" s="95">
        <v>30.62</v>
      </c>
      <c r="H374" s="96">
        <v>0.91</v>
      </c>
      <c r="I374" s="97">
        <v>0.24440000000000001</v>
      </c>
      <c r="J374" s="95">
        <v>6.7000000000000002E-3</v>
      </c>
      <c r="K374" s="96">
        <v>0.67706999999999995</v>
      </c>
      <c r="M374" s="99">
        <v>1409.6</v>
      </c>
      <c r="N374" s="98">
        <v>35</v>
      </c>
      <c r="O374" s="99" t="s">
        <v>480</v>
      </c>
      <c r="P374" s="98" t="s">
        <v>481</v>
      </c>
      <c r="Q374" s="98" t="s">
        <v>480</v>
      </c>
      <c r="R374" s="97" t="s">
        <v>480</v>
      </c>
      <c r="T374" s="98">
        <v>440</v>
      </c>
      <c r="U374" s="98">
        <v>160</v>
      </c>
      <c r="V374" s="98">
        <v>464</v>
      </c>
      <c r="W374" s="98">
        <v>36</v>
      </c>
      <c r="X374" s="98">
        <v>537</v>
      </c>
      <c r="Y374" s="98">
        <v>54</v>
      </c>
      <c r="Z374" s="98">
        <v>475</v>
      </c>
      <c r="AA374" s="98">
        <v>38</v>
      </c>
      <c r="AB374" s="98">
        <v>466</v>
      </c>
      <c r="AC374" s="98">
        <v>49</v>
      </c>
      <c r="AD374" s="98">
        <v>503</v>
      </c>
      <c r="AE374" s="98">
        <v>43</v>
      </c>
      <c r="AF374" s="95">
        <v>470</v>
      </c>
      <c r="AG374" s="98">
        <v>32</v>
      </c>
      <c r="AH374" s="96">
        <v>465</v>
      </c>
      <c r="AI374" s="96">
        <v>40</v>
      </c>
      <c r="AJ374" s="95">
        <v>480</v>
      </c>
      <c r="AK374" s="95">
        <v>33</v>
      </c>
      <c r="AL374" s="96">
        <v>449</v>
      </c>
      <c r="AM374" s="96">
        <v>37</v>
      </c>
      <c r="AN374" s="96">
        <v>499</v>
      </c>
      <c r="AO374" s="96">
        <v>47</v>
      </c>
      <c r="AP374" s="96">
        <v>490</v>
      </c>
      <c r="AQ374" s="96">
        <v>47</v>
      </c>
      <c r="AR374" s="96">
        <v>470</v>
      </c>
      <c r="AS374" s="93">
        <v>41</v>
      </c>
      <c r="AT374" s="96">
        <v>448</v>
      </c>
      <c r="AU374" s="96">
        <v>41</v>
      </c>
      <c r="AV374" s="99">
        <v>436</v>
      </c>
      <c r="AW374" s="98">
        <v>42</v>
      </c>
      <c r="AX374" s="98">
        <v>474</v>
      </c>
      <c r="AY374" s="98">
        <v>35</v>
      </c>
      <c r="AZ374" s="98">
        <v>489</v>
      </c>
      <c r="BA374" s="98">
        <v>39</v>
      </c>
      <c r="BB374" s="98">
        <v>451</v>
      </c>
      <c r="BC374" s="98">
        <v>41</v>
      </c>
      <c r="BD374" s="98">
        <v>489</v>
      </c>
      <c r="BE374" s="98">
        <v>54</v>
      </c>
      <c r="BF374" s="98">
        <v>464</v>
      </c>
      <c r="BG374" s="98">
        <v>46</v>
      </c>
      <c r="BI374" s="93">
        <v>477</v>
      </c>
      <c r="BJ374" s="98">
        <v>45</v>
      </c>
      <c r="BK374" s="98">
        <v>450</v>
      </c>
      <c r="BL374" s="98">
        <v>65</v>
      </c>
      <c r="BM374" s="98">
        <v>465</v>
      </c>
      <c r="BN374" s="98">
        <v>57</v>
      </c>
      <c r="BO374" s="99">
        <v>471</v>
      </c>
      <c r="BP374" s="98">
        <v>30</v>
      </c>
      <c r="BQ374" s="99">
        <v>478</v>
      </c>
      <c r="BR374" s="98">
        <v>31</v>
      </c>
      <c r="CD374" s="3"/>
      <c r="CE374" s="3"/>
      <c r="CF374" s="3"/>
    </row>
    <row r="375" spans="1:90" s="98" customFormat="1">
      <c r="A375" s="3" t="s">
        <v>564</v>
      </c>
      <c r="B375" s="92" t="s">
        <v>244</v>
      </c>
      <c r="C375" s="3"/>
      <c r="D375" s="93">
        <v>11.009</v>
      </c>
      <c r="E375" s="94">
        <v>0.91080000000000005</v>
      </c>
      <c r="F375" s="94">
        <v>4.4000000000000003E-3</v>
      </c>
      <c r="G375" s="95">
        <v>30.47</v>
      </c>
      <c r="H375" s="96">
        <v>0.91</v>
      </c>
      <c r="I375" s="97">
        <v>0.24390000000000001</v>
      </c>
      <c r="J375" s="95">
        <v>6.6E-3</v>
      </c>
      <c r="K375" s="96">
        <v>0.77827999999999997</v>
      </c>
      <c r="M375" s="99">
        <v>1407.1</v>
      </c>
      <c r="N375" s="98">
        <v>34</v>
      </c>
      <c r="O375" s="99" t="s">
        <v>480</v>
      </c>
      <c r="P375" s="98" t="s">
        <v>481</v>
      </c>
      <c r="Q375" s="98" t="s">
        <v>480</v>
      </c>
      <c r="R375" s="97" t="s">
        <v>480</v>
      </c>
      <c r="T375" s="98">
        <v>380</v>
      </c>
      <c r="U375" s="98">
        <v>150</v>
      </c>
      <c r="V375" s="98">
        <v>438</v>
      </c>
      <c r="W375" s="98">
        <v>38</v>
      </c>
      <c r="X375" s="98">
        <v>502</v>
      </c>
      <c r="Y375" s="98">
        <v>41</v>
      </c>
      <c r="Z375" s="98">
        <v>449</v>
      </c>
      <c r="AA375" s="98">
        <v>46</v>
      </c>
      <c r="AB375" s="98">
        <v>438</v>
      </c>
      <c r="AC375" s="98">
        <v>29</v>
      </c>
      <c r="AD375" s="98">
        <v>421</v>
      </c>
      <c r="AE375" s="98">
        <v>40</v>
      </c>
      <c r="AF375" s="95">
        <v>429</v>
      </c>
      <c r="AG375" s="98">
        <v>28</v>
      </c>
      <c r="AH375" s="96">
        <v>438</v>
      </c>
      <c r="AI375" s="96">
        <v>45</v>
      </c>
      <c r="AJ375" s="95">
        <v>435</v>
      </c>
      <c r="AK375" s="95">
        <v>32</v>
      </c>
      <c r="AL375" s="96">
        <v>424</v>
      </c>
      <c r="AM375" s="96">
        <v>33</v>
      </c>
      <c r="AN375" s="96">
        <v>443</v>
      </c>
      <c r="AO375" s="96">
        <v>45</v>
      </c>
      <c r="AP375" s="96">
        <v>429</v>
      </c>
      <c r="AQ375" s="96">
        <v>37</v>
      </c>
      <c r="AR375" s="96">
        <v>415</v>
      </c>
      <c r="AS375" s="93">
        <v>41</v>
      </c>
      <c r="AT375" s="96">
        <v>423</v>
      </c>
      <c r="AU375" s="96">
        <v>43</v>
      </c>
      <c r="AV375" s="99">
        <v>414</v>
      </c>
      <c r="AW375" s="98">
        <v>36</v>
      </c>
      <c r="AX375" s="98">
        <v>424</v>
      </c>
      <c r="AY375" s="98">
        <v>34</v>
      </c>
      <c r="AZ375" s="98">
        <v>449</v>
      </c>
      <c r="BA375" s="98">
        <v>32</v>
      </c>
      <c r="BB375" s="98">
        <v>431</v>
      </c>
      <c r="BC375" s="98">
        <v>35</v>
      </c>
      <c r="BD375" s="98">
        <v>436</v>
      </c>
      <c r="BE375" s="98">
        <v>36</v>
      </c>
      <c r="BF375" s="98">
        <v>416</v>
      </c>
      <c r="BG375" s="98">
        <v>37</v>
      </c>
      <c r="BI375" s="93">
        <v>432</v>
      </c>
      <c r="BJ375" s="98">
        <v>32</v>
      </c>
      <c r="BK375" s="98">
        <v>408</v>
      </c>
      <c r="BL375" s="98">
        <v>47</v>
      </c>
      <c r="BM375" s="98">
        <v>412</v>
      </c>
      <c r="BN375" s="98">
        <v>42</v>
      </c>
      <c r="BO375" s="99">
        <v>440</v>
      </c>
      <c r="BP375" s="98">
        <v>29</v>
      </c>
      <c r="BQ375" s="99">
        <v>443</v>
      </c>
      <c r="BR375" s="98">
        <v>29</v>
      </c>
      <c r="CD375" s="3"/>
      <c r="CE375" s="3"/>
      <c r="CF375" s="3"/>
    </row>
    <row r="376" spans="1:90" s="98" customFormat="1">
      <c r="A376" s="3" t="s">
        <v>565</v>
      </c>
      <c r="B376" s="92" t="s">
        <v>244</v>
      </c>
      <c r="C376" s="3"/>
      <c r="D376" s="93">
        <v>11.007999999999999</v>
      </c>
      <c r="E376" s="94">
        <v>0.91039999999999999</v>
      </c>
      <c r="F376" s="94">
        <v>4.3E-3</v>
      </c>
      <c r="G376" s="95">
        <v>30.29</v>
      </c>
      <c r="H376" s="96">
        <v>0.9</v>
      </c>
      <c r="I376" s="97">
        <v>0.2429</v>
      </c>
      <c r="J376" s="95">
        <v>6.6E-3</v>
      </c>
      <c r="K376" s="96">
        <v>0.79322000000000004</v>
      </c>
      <c r="M376" s="99">
        <v>1401.7</v>
      </c>
      <c r="N376" s="98">
        <v>34</v>
      </c>
      <c r="O376" s="99" t="s">
        <v>480</v>
      </c>
      <c r="P376" s="98" t="s">
        <v>481</v>
      </c>
      <c r="Q376" s="98" t="s">
        <v>480</v>
      </c>
      <c r="R376" s="97" t="s">
        <v>480</v>
      </c>
      <c r="T376" s="98">
        <v>390</v>
      </c>
      <c r="U376" s="98">
        <v>230</v>
      </c>
      <c r="V376" s="98">
        <v>450</v>
      </c>
      <c r="W376" s="98">
        <v>34</v>
      </c>
      <c r="X376" s="98">
        <v>509</v>
      </c>
      <c r="Y376" s="98">
        <v>50</v>
      </c>
      <c r="Z376" s="98">
        <v>473</v>
      </c>
      <c r="AA376" s="98">
        <v>50</v>
      </c>
      <c r="AB376" s="98">
        <v>452</v>
      </c>
      <c r="AC376" s="98">
        <v>40</v>
      </c>
      <c r="AD376" s="98">
        <v>459</v>
      </c>
      <c r="AE376" s="98">
        <v>39</v>
      </c>
      <c r="AF376" s="95">
        <v>448</v>
      </c>
      <c r="AG376" s="98">
        <v>28</v>
      </c>
      <c r="AH376" s="96">
        <v>457</v>
      </c>
      <c r="AI376" s="96">
        <v>43</v>
      </c>
      <c r="AJ376" s="95">
        <v>456</v>
      </c>
      <c r="AK376" s="95">
        <v>27</v>
      </c>
      <c r="AL376" s="96">
        <v>438</v>
      </c>
      <c r="AM376" s="96">
        <v>33</v>
      </c>
      <c r="AN376" s="96">
        <v>454</v>
      </c>
      <c r="AO376" s="96">
        <v>37</v>
      </c>
      <c r="AP376" s="96">
        <v>458</v>
      </c>
      <c r="AQ376" s="96">
        <v>39</v>
      </c>
      <c r="AR376" s="96">
        <v>466</v>
      </c>
      <c r="AS376" s="93">
        <v>43</v>
      </c>
      <c r="AT376" s="96">
        <v>443</v>
      </c>
      <c r="AU376" s="96">
        <v>35</v>
      </c>
      <c r="AV376" s="99">
        <v>459</v>
      </c>
      <c r="AW376" s="98">
        <v>32</v>
      </c>
      <c r="AX376" s="98">
        <v>448</v>
      </c>
      <c r="AY376" s="98">
        <v>28</v>
      </c>
      <c r="AZ376" s="98">
        <v>478</v>
      </c>
      <c r="BA376" s="98">
        <v>32</v>
      </c>
      <c r="BB376" s="98">
        <v>433</v>
      </c>
      <c r="BC376" s="98">
        <v>30</v>
      </c>
      <c r="BD376" s="98">
        <v>449</v>
      </c>
      <c r="BE376" s="98">
        <v>37</v>
      </c>
      <c r="BF376" s="98">
        <v>449</v>
      </c>
      <c r="BG376" s="98">
        <v>42</v>
      </c>
      <c r="BI376" s="93">
        <v>449</v>
      </c>
      <c r="BJ376" s="98">
        <v>34</v>
      </c>
      <c r="BK376" s="98">
        <v>432</v>
      </c>
      <c r="BL376" s="98">
        <v>52</v>
      </c>
      <c r="BM376" s="98">
        <v>453</v>
      </c>
      <c r="BN376" s="98">
        <v>54</v>
      </c>
      <c r="BO376" s="99">
        <v>465</v>
      </c>
      <c r="BP376" s="98">
        <v>25</v>
      </c>
      <c r="BQ376" s="99">
        <v>473</v>
      </c>
      <c r="BR376" s="98">
        <v>26</v>
      </c>
      <c r="CD376" s="3"/>
      <c r="CE376" s="3"/>
      <c r="CF376" s="3"/>
    </row>
    <row r="377" spans="1:90" s="98" customFormat="1">
      <c r="A377" s="3" t="s">
        <v>566</v>
      </c>
      <c r="B377" s="92" t="s">
        <v>244</v>
      </c>
      <c r="C377" s="3"/>
      <c r="D377" s="93">
        <v>11.022</v>
      </c>
      <c r="E377" s="94">
        <v>0.91080000000000005</v>
      </c>
      <c r="F377" s="94">
        <v>4.5999999999999999E-3</v>
      </c>
      <c r="G377" s="95">
        <v>30.4</v>
      </c>
      <c r="H377" s="96">
        <v>0.9</v>
      </c>
      <c r="I377" s="97">
        <v>0.2437</v>
      </c>
      <c r="J377" s="95">
        <v>6.6E-3</v>
      </c>
      <c r="K377" s="96">
        <v>0.76456000000000002</v>
      </c>
      <c r="M377" s="99">
        <v>1405.8</v>
      </c>
      <c r="N377" s="98">
        <v>34</v>
      </c>
      <c r="O377" s="99" t="s">
        <v>480</v>
      </c>
      <c r="P377" s="98" t="s">
        <v>481</v>
      </c>
      <c r="Q377" s="98" t="s">
        <v>480</v>
      </c>
      <c r="R377" s="97" t="s">
        <v>480</v>
      </c>
      <c r="T377" s="98">
        <v>330</v>
      </c>
      <c r="U377" s="98">
        <v>170</v>
      </c>
      <c r="V377" s="98">
        <v>467</v>
      </c>
      <c r="W377" s="98">
        <v>42</v>
      </c>
      <c r="X377" s="98">
        <v>519</v>
      </c>
      <c r="Y377" s="98">
        <v>36</v>
      </c>
      <c r="Z377" s="98">
        <v>455</v>
      </c>
      <c r="AA377" s="98">
        <v>34</v>
      </c>
      <c r="AB377" s="98">
        <v>445</v>
      </c>
      <c r="AC377" s="98">
        <v>36</v>
      </c>
      <c r="AD377" s="98">
        <v>469</v>
      </c>
      <c r="AE377" s="98">
        <v>43</v>
      </c>
      <c r="AF377" s="95">
        <v>444</v>
      </c>
      <c r="AG377" s="98">
        <v>29</v>
      </c>
      <c r="AH377" s="96">
        <v>453</v>
      </c>
      <c r="AI377" s="96">
        <v>36</v>
      </c>
      <c r="AJ377" s="95">
        <v>447</v>
      </c>
      <c r="AK377" s="95">
        <v>29</v>
      </c>
      <c r="AL377" s="96">
        <v>430</v>
      </c>
      <c r="AM377" s="96">
        <v>24</v>
      </c>
      <c r="AN377" s="96">
        <v>452</v>
      </c>
      <c r="AO377" s="96">
        <v>31</v>
      </c>
      <c r="AP377" s="96">
        <v>447</v>
      </c>
      <c r="AQ377" s="96">
        <v>39</v>
      </c>
      <c r="AR377" s="96">
        <v>436</v>
      </c>
      <c r="AS377" s="93">
        <v>44</v>
      </c>
      <c r="AT377" s="96">
        <v>434</v>
      </c>
      <c r="AU377" s="96">
        <v>35</v>
      </c>
      <c r="AV377" s="99">
        <v>441</v>
      </c>
      <c r="AW377" s="98">
        <v>40</v>
      </c>
      <c r="AX377" s="98">
        <v>457</v>
      </c>
      <c r="AY377" s="98">
        <v>35</v>
      </c>
      <c r="AZ377" s="98">
        <v>457</v>
      </c>
      <c r="BA377" s="98">
        <v>24</v>
      </c>
      <c r="BB377" s="98">
        <v>432</v>
      </c>
      <c r="BC377" s="98">
        <v>31</v>
      </c>
      <c r="BD377" s="98">
        <v>442</v>
      </c>
      <c r="BE377" s="98">
        <v>38</v>
      </c>
      <c r="BF377" s="98">
        <v>441</v>
      </c>
      <c r="BG377" s="98">
        <v>35</v>
      </c>
      <c r="BI377" s="93">
        <v>444</v>
      </c>
      <c r="BJ377" s="98">
        <v>34</v>
      </c>
      <c r="BK377" s="98">
        <v>450</v>
      </c>
      <c r="BL377" s="98">
        <v>61</v>
      </c>
      <c r="BM377" s="98">
        <v>439</v>
      </c>
      <c r="BN377" s="98">
        <v>32</v>
      </c>
      <c r="BO377" s="99">
        <v>454</v>
      </c>
      <c r="BP377" s="98">
        <v>27</v>
      </c>
      <c r="BQ377" s="99">
        <v>456</v>
      </c>
      <c r="BR377" s="98">
        <v>21</v>
      </c>
      <c r="CD377" s="3"/>
      <c r="CE377" s="3"/>
      <c r="CF377" s="3"/>
    </row>
    <row r="378" spans="1:90" s="98" customFormat="1">
      <c r="A378" s="3" t="s">
        <v>567</v>
      </c>
      <c r="B378" s="92" t="s">
        <v>244</v>
      </c>
      <c r="C378" s="3"/>
      <c r="D378" s="93">
        <v>11.103999999999999</v>
      </c>
      <c r="E378" s="94">
        <v>0.91100000000000003</v>
      </c>
      <c r="F378" s="94">
        <v>5.4999999999999997E-3</v>
      </c>
      <c r="G378" s="95">
        <v>30.31</v>
      </c>
      <c r="H378" s="96">
        <v>0.9</v>
      </c>
      <c r="I378" s="97">
        <v>0.24279999999999999</v>
      </c>
      <c r="J378" s="95">
        <v>6.6E-3</v>
      </c>
      <c r="K378" s="96">
        <v>0.65488000000000002</v>
      </c>
      <c r="M378" s="99">
        <v>1401.4</v>
      </c>
      <c r="N378" s="98">
        <v>34</v>
      </c>
      <c r="O378" s="99" t="s">
        <v>480</v>
      </c>
      <c r="P378" s="98" t="s">
        <v>481</v>
      </c>
      <c r="Q378" s="98" t="s">
        <v>480</v>
      </c>
      <c r="R378" s="97" t="s">
        <v>480</v>
      </c>
      <c r="T378" s="98">
        <v>520</v>
      </c>
      <c r="U378" s="98">
        <v>140</v>
      </c>
      <c r="V378" s="98">
        <v>456</v>
      </c>
      <c r="W378" s="98">
        <v>45</v>
      </c>
      <c r="X378" s="98">
        <v>538</v>
      </c>
      <c r="Y378" s="98">
        <v>64</v>
      </c>
      <c r="Z378" s="98">
        <v>469</v>
      </c>
      <c r="AA378" s="98">
        <v>54</v>
      </c>
      <c r="AB378" s="98">
        <v>444</v>
      </c>
      <c r="AC378" s="98">
        <v>51</v>
      </c>
      <c r="AD378" s="98">
        <v>469</v>
      </c>
      <c r="AE378" s="98">
        <v>47</v>
      </c>
      <c r="AF378" s="95">
        <v>444</v>
      </c>
      <c r="AG378" s="98">
        <v>36</v>
      </c>
      <c r="AH378" s="96">
        <v>453</v>
      </c>
      <c r="AI378" s="96">
        <v>54</v>
      </c>
      <c r="AJ378" s="95">
        <v>454</v>
      </c>
      <c r="AK378" s="95">
        <v>36</v>
      </c>
      <c r="AL378" s="96">
        <v>435</v>
      </c>
      <c r="AM378" s="96">
        <v>43</v>
      </c>
      <c r="AN378" s="96">
        <v>450</v>
      </c>
      <c r="AO378" s="96">
        <v>44</v>
      </c>
      <c r="AP378" s="96">
        <v>455</v>
      </c>
      <c r="AQ378" s="96">
        <v>54</v>
      </c>
      <c r="AR378" s="96">
        <v>457</v>
      </c>
      <c r="AS378" s="93">
        <v>50</v>
      </c>
      <c r="AT378" s="96">
        <v>437</v>
      </c>
      <c r="AU378" s="96">
        <v>36</v>
      </c>
      <c r="AV378" s="99">
        <v>426</v>
      </c>
      <c r="AW378" s="98">
        <v>34</v>
      </c>
      <c r="AX378" s="98">
        <v>448</v>
      </c>
      <c r="AY378" s="98">
        <v>34</v>
      </c>
      <c r="AZ378" s="98">
        <v>427</v>
      </c>
      <c r="BA378" s="98">
        <v>40</v>
      </c>
      <c r="BB378" s="98">
        <v>440</v>
      </c>
      <c r="BC378" s="98">
        <v>41</v>
      </c>
      <c r="BD378" s="98">
        <v>459</v>
      </c>
      <c r="BE378" s="98">
        <v>49</v>
      </c>
      <c r="BF378" s="98">
        <v>442</v>
      </c>
      <c r="BG378" s="98">
        <v>48</v>
      </c>
      <c r="BI378" s="93">
        <v>470</v>
      </c>
      <c r="BJ378" s="98">
        <v>46</v>
      </c>
      <c r="BK378" s="98">
        <v>468</v>
      </c>
      <c r="BL378" s="98">
        <v>60</v>
      </c>
      <c r="BM378" s="98">
        <v>425</v>
      </c>
      <c r="BN378" s="98">
        <v>49</v>
      </c>
      <c r="BO378" s="99">
        <v>457</v>
      </c>
      <c r="BP378" s="98">
        <v>37</v>
      </c>
      <c r="BQ378" s="99">
        <v>466</v>
      </c>
      <c r="BR378" s="98">
        <v>38</v>
      </c>
      <c r="CD378" s="3"/>
      <c r="CE378" s="3"/>
      <c r="CF378" s="3"/>
    </row>
    <row r="379" spans="1:90" s="98" customFormat="1">
      <c r="A379" s="3" t="s">
        <v>568</v>
      </c>
      <c r="B379" s="92" t="s">
        <v>244</v>
      </c>
      <c r="C379" s="3"/>
      <c r="D379" s="93">
        <v>11.03</v>
      </c>
      <c r="E379" s="94">
        <v>0.91190000000000004</v>
      </c>
      <c r="F379" s="94">
        <v>6.4999999999999997E-3</v>
      </c>
      <c r="G379" s="95">
        <v>30.39</v>
      </c>
      <c r="H379" s="96">
        <v>0.91</v>
      </c>
      <c r="I379" s="97">
        <v>0.2429</v>
      </c>
      <c r="J379" s="95">
        <v>6.6E-3</v>
      </c>
      <c r="K379" s="96">
        <v>0.57704999999999995</v>
      </c>
      <c r="M379" s="99">
        <v>1401.8</v>
      </c>
      <c r="N379" s="98">
        <v>34</v>
      </c>
      <c r="O379" s="99" t="s">
        <v>480</v>
      </c>
      <c r="P379" s="98" t="s">
        <v>481</v>
      </c>
      <c r="Q379" s="98" t="s">
        <v>480</v>
      </c>
      <c r="R379" s="97" t="s">
        <v>480</v>
      </c>
      <c r="T379" s="98">
        <v>610</v>
      </c>
      <c r="U379" s="98">
        <v>180</v>
      </c>
      <c r="V379" s="98">
        <v>437</v>
      </c>
      <c r="W379" s="98">
        <v>34</v>
      </c>
      <c r="X379" s="98">
        <v>534</v>
      </c>
      <c r="Y379" s="98">
        <v>41</v>
      </c>
      <c r="Z379" s="98">
        <v>473</v>
      </c>
      <c r="AA379" s="98">
        <v>32</v>
      </c>
      <c r="AB379" s="98">
        <v>450</v>
      </c>
      <c r="AC379" s="98">
        <v>38</v>
      </c>
      <c r="AD379" s="98">
        <v>473</v>
      </c>
      <c r="AE379" s="98">
        <v>44</v>
      </c>
      <c r="AF379" s="95">
        <v>442</v>
      </c>
      <c r="AG379" s="98">
        <v>25</v>
      </c>
      <c r="AH379" s="96">
        <v>456</v>
      </c>
      <c r="AI379" s="96">
        <v>33</v>
      </c>
      <c r="AJ379" s="95">
        <v>448</v>
      </c>
      <c r="AK379" s="95">
        <v>29</v>
      </c>
      <c r="AL379" s="96">
        <v>424</v>
      </c>
      <c r="AM379" s="96">
        <v>34</v>
      </c>
      <c r="AN379" s="96">
        <v>455</v>
      </c>
      <c r="AO379" s="96">
        <v>30</v>
      </c>
      <c r="AP379" s="96">
        <v>448</v>
      </c>
      <c r="AQ379" s="96">
        <v>34</v>
      </c>
      <c r="AR379" s="96">
        <v>468</v>
      </c>
      <c r="AS379" s="93">
        <v>46</v>
      </c>
      <c r="AT379" s="96">
        <v>438</v>
      </c>
      <c r="AU379" s="96">
        <v>35</v>
      </c>
      <c r="AV379" s="99">
        <v>435</v>
      </c>
      <c r="AW379" s="98">
        <v>32</v>
      </c>
      <c r="AX379" s="98">
        <v>450</v>
      </c>
      <c r="AY379" s="98">
        <v>24</v>
      </c>
      <c r="AZ379" s="98">
        <v>464</v>
      </c>
      <c r="BA379" s="98">
        <v>28</v>
      </c>
      <c r="BB379" s="98">
        <v>428</v>
      </c>
      <c r="BC379" s="98">
        <v>26</v>
      </c>
      <c r="BD379" s="98">
        <v>445</v>
      </c>
      <c r="BE379" s="98">
        <v>40</v>
      </c>
      <c r="BF379" s="98">
        <v>434</v>
      </c>
      <c r="BG379" s="98">
        <v>33</v>
      </c>
      <c r="BI379" s="93">
        <v>450</v>
      </c>
      <c r="BJ379" s="98">
        <v>32</v>
      </c>
      <c r="BK379" s="98">
        <v>468</v>
      </c>
      <c r="BL379" s="98">
        <v>39</v>
      </c>
      <c r="BM379" s="98">
        <v>421</v>
      </c>
      <c r="BN379" s="98">
        <v>53</v>
      </c>
      <c r="BO379" s="99">
        <v>459</v>
      </c>
      <c r="BP379" s="98">
        <v>28</v>
      </c>
      <c r="BQ379" s="99">
        <v>465</v>
      </c>
      <c r="BR379" s="98">
        <v>29</v>
      </c>
      <c r="CD379" s="3"/>
      <c r="CE379" s="3"/>
      <c r="CF379" s="3"/>
    </row>
    <row r="380" spans="1:90" s="98" customFormat="1">
      <c r="A380" s="3" t="s">
        <v>569</v>
      </c>
      <c r="B380" s="92" t="s">
        <v>244</v>
      </c>
      <c r="C380" s="3"/>
      <c r="D380" s="93">
        <v>11.057</v>
      </c>
      <c r="E380" s="94">
        <v>0.91420000000000001</v>
      </c>
      <c r="F380" s="94">
        <v>6.6E-3</v>
      </c>
      <c r="G380" s="95">
        <v>30.59</v>
      </c>
      <c r="H380" s="96">
        <v>0.92</v>
      </c>
      <c r="I380" s="97">
        <v>0.24346000000000001</v>
      </c>
      <c r="J380" s="95">
        <v>6.6E-3</v>
      </c>
      <c r="K380" s="96">
        <v>0.55091999999999997</v>
      </c>
      <c r="M380" s="99">
        <v>1404.7</v>
      </c>
      <c r="N380" s="98">
        <v>34</v>
      </c>
      <c r="O380" s="99" t="s">
        <v>480</v>
      </c>
      <c r="P380" s="98" t="s">
        <v>481</v>
      </c>
      <c r="Q380" s="98" t="s">
        <v>480</v>
      </c>
      <c r="R380" s="97" t="s">
        <v>480</v>
      </c>
      <c r="T380" s="98">
        <v>400</v>
      </c>
      <c r="U380" s="98">
        <v>130</v>
      </c>
      <c r="V380" s="98">
        <v>451</v>
      </c>
      <c r="W380" s="98">
        <v>48</v>
      </c>
      <c r="X380" s="98">
        <v>496</v>
      </c>
      <c r="Y380" s="98">
        <v>43</v>
      </c>
      <c r="Z380" s="98">
        <v>462</v>
      </c>
      <c r="AA380" s="98">
        <v>41</v>
      </c>
      <c r="AB380" s="98">
        <v>444</v>
      </c>
      <c r="AC380" s="98">
        <v>43</v>
      </c>
      <c r="AD380" s="98">
        <v>457</v>
      </c>
      <c r="AE380" s="98">
        <v>51</v>
      </c>
      <c r="AF380" s="95">
        <v>438</v>
      </c>
      <c r="AG380" s="98">
        <v>34</v>
      </c>
      <c r="AH380" s="96">
        <v>450</v>
      </c>
      <c r="AI380" s="96">
        <v>29</v>
      </c>
      <c r="AJ380" s="95">
        <v>440</v>
      </c>
      <c r="AK380" s="95">
        <v>35</v>
      </c>
      <c r="AL380" s="96">
        <v>418</v>
      </c>
      <c r="AM380" s="96">
        <v>39</v>
      </c>
      <c r="AN380" s="96">
        <v>445</v>
      </c>
      <c r="AO380" s="96">
        <v>38</v>
      </c>
      <c r="AP380" s="96">
        <v>438</v>
      </c>
      <c r="AQ380" s="96">
        <v>41</v>
      </c>
      <c r="AR380" s="96">
        <v>445</v>
      </c>
      <c r="AS380" s="93">
        <v>39</v>
      </c>
      <c r="AT380" s="96">
        <v>436</v>
      </c>
      <c r="AU380" s="96">
        <v>32</v>
      </c>
      <c r="AV380" s="99">
        <v>433</v>
      </c>
      <c r="AW380" s="98">
        <v>45</v>
      </c>
      <c r="AX380" s="98">
        <v>451</v>
      </c>
      <c r="AY380" s="98">
        <v>45</v>
      </c>
      <c r="AZ380" s="98">
        <v>452</v>
      </c>
      <c r="BA380" s="98">
        <v>44</v>
      </c>
      <c r="BB380" s="98">
        <v>429</v>
      </c>
      <c r="BC380" s="98">
        <v>38</v>
      </c>
      <c r="BD380" s="98">
        <v>443</v>
      </c>
      <c r="BE380" s="98">
        <v>43</v>
      </c>
      <c r="BF380" s="98">
        <v>441</v>
      </c>
      <c r="BG380" s="98">
        <v>35</v>
      </c>
      <c r="BI380" s="93">
        <v>456</v>
      </c>
      <c r="BJ380" s="98">
        <v>39</v>
      </c>
      <c r="BK380" s="98">
        <v>409</v>
      </c>
      <c r="BL380" s="98">
        <v>41</v>
      </c>
      <c r="BM380" s="98">
        <v>438</v>
      </c>
      <c r="BN380" s="98">
        <v>47</v>
      </c>
      <c r="BO380" s="99">
        <v>457</v>
      </c>
      <c r="BP380" s="98">
        <v>40</v>
      </c>
      <c r="BQ380" s="99">
        <v>461</v>
      </c>
      <c r="BR380" s="98">
        <v>41</v>
      </c>
      <c r="CD380" s="3"/>
      <c r="CE380" s="3"/>
      <c r="CF380" s="3"/>
    </row>
    <row r="381" spans="1:90" s="98" customFormat="1">
      <c r="A381" s="3" t="s">
        <v>570</v>
      </c>
      <c r="B381" s="92" t="s">
        <v>244</v>
      </c>
      <c r="C381" s="3"/>
      <c r="D381" s="93">
        <v>11.015000000000001</v>
      </c>
      <c r="E381" s="94">
        <v>0.91269999999999996</v>
      </c>
      <c r="F381" s="94">
        <v>5.8999999999999999E-3</v>
      </c>
      <c r="G381" s="95">
        <v>30.6</v>
      </c>
      <c r="H381" s="96">
        <v>0.92</v>
      </c>
      <c r="I381" s="97">
        <v>0.2437</v>
      </c>
      <c r="J381" s="95">
        <v>6.7000000000000002E-3</v>
      </c>
      <c r="K381" s="96">
        <v>0.62524000000000002</v>
      </c>
      <c r="M381" s="99">
        <v>1406</v>
      </c>
      <c r="N381" s="98">
        <v>34</v>
      </c>
      <c r="O381" s="99" t="s">
        <v>480</v>
      </c>
      <c r="P381" s="98" t="s">
        <v>481</v>
      </c>
      <c r="Q381" s="98" t="s">
        <v>480</v>
      </c>
      <c r="R381" s="97" t="s">
        <v>480</v>
      </c>
      <c r="T381" s="98">
        <v>420</v>
      </c>
      <c r="U381" s="98">
        <v>110</v>
      </c>
      <c r="V381" s="98">
        <v>453</v>
      </c>
      <c r="W381" s="98">
        <v>29</v>
      </c>
      <c r="X381" s="98">
        <v>510</v>
      </c>
      <c r="Y381" s="98">
        <v>40</v>
      </c>
      <c r="Z381" s="98">
        <v>457</v>
      </c>
      <c r="AA381" s="98">
        <v>40</v>
      </c>
      <c r="AB381" s="98">
        <v>445</v>
      </c>
      <c r="AC381" s="98">
        <v>22</v>
      </c>
      <c r="AD381" s="98">
        <v>485</v>
      </c>
      <c r="AE381" s="98">
        <v>41</v>
      </c>
      <c r="AF381" s="95">
        <v>427</v>
      </c>
      <c r="AG381" s="98">
        <v>18</v>
      </c>
      <c r="AH381" s="96">
        <v>454</v>
      </c>
      <c r="AI381" s="96">
        <v>30</v>
      </c>
      <c r="AJ381" s="95">
        <v>439</v>
      </c>
      <c r="AK381" s="95">
        <v>20</v>
      </c>
      <c r="AL381" s="96">
        <v>433</v>
      </c>
      <c r="AM381" s="96">
        <v>25</v>
      </c>
      <c r="AN381" s="96">
        <v>462</v>
      </c>
      <c r="AO381" s="96">
        <v>33</v>
      </c>
      <c r="AP381" s="96">
        <v>438</v>
      </c>
      <c r="AQ381" s="96">
        <v>26</v>
      </c>
      <c r="AR381" s="96">
        <v>454</v>
      </c>
      <c r="AS381" s="93">
        <v>30</v>
      </c>
      <c r="AT381" s="96">
        <v>441</v>
      </c>
      <c r="AU381" s="96">
        <v>37</v>
      </c>
      <c r="AV381" s="99">
        <v>429</v>
      </c>
      <c r="AW381" s="98">
        <v>28</v>
      </c>
      <c r="AX381" s="98">
        <v>446</v>
      </c>
      <c r="AY381" s="98">
        <v>21</v>
      </c>
      <c r="AZ381" s="98">
        <v>441</v>
      </c>
      <c r="BA381" s="98">
        <v>29</v>
      </c>
      <c r="BB381" s="98">
        <v>434</v>
      </c>
      <c r="BC381" s="98">
        <v>30</v>
      </c>
      <c r="BD381" s="98">
        <v>449</v>
      </c>
      <c r="BE381" s="98">
        <v>41</v>
      </c>
      <c r="BF381" s="98">
        <v>439</v>
      </c>
      <c r="BG381" s="98">
        <v>34</v>
      </c>
      <c r="BI381" s="93">
        <v>451</v>
      </c>
      <c r="BJ381" s="98">
        <v>35</v>
      </c>
      <c r="BK381" s="98">
        <v>501</v>
      </c>
      <c r="BL381" s="98">
        <v>67</v>
      </c>
      <c r="BM381" s="98">
        <v>431</v>
      </c>
      <c r="BN381" s="98">
        <v>44</v>
      </c>
      <c r="BO381" s="99">
        <v>457</v>
      </c>
      <c r="BP381" s="98">
        <v>21</v>
      </c>
      <c r="BQ381" s="99">
        <v>461</v>
      </c>
      <c r="BR381" s="98">
        <v>23</v>
      </c>
      <c r="CD381" s="3"/>
      <c r="CE381" s="3"/>
      <c r="CF381" s="3"/>
    </row>
    <row r="382" spans="1:90" s="98" customFormat="1">
      <c r="A382" s="3" t="s">
        <v>571</v>
      </c>
      <c r="B382" s="92" t="s">
        <v>244</v>
      </c>
      <c r="C382" s="3"/>
      <c r="D382" s="93">
        <v>11.038</v>
      </c>
      <c r="E382" s="94">
        <v>0.91339999999999999</v>
      </c>
      <c r="F382" s="94">
        <v>5.4000000000000003E-3</v>
      </c>
      <c r="G382" s="95">
        <v>30.6</v>
      </c>
      <c r="H382" s="96">
        <v>0.91</v>
      </c>
      <c r="I382" s="97">
        <v>0.24340000000000001</v>
      </c>
      <c r="J382" s="95">
        <v>6.6E-3</v>
      </c>
      <c r="K382" s="96">
        <v>0.65078999999999998</v>
      </c>
      <c r="M382" s="99">
        <v>1404.4</v>
      </c>
      <c r="N382" s="98">
        <v>34</v>
      </c>
      <c r="O382" s="99" t="s">
        <v>480</v>
      </c>
      <c r="P382" s="98" t="s">
        <v>481</v>
      </c>
      <c r="Q382" s="98" t="s">
        <v>480</v>
      </c>
      <c r="R382" s="97" t="s">
        <v>480</v>
      </c>
      <c r="T382" s="98">
        <v>280</v>
      </c>
      <c r="U382" s="98">
        <v>150</v>
      </c>
      <c r="V382" s="98">
        <v>446</v>
      </c>
      <c r="W382" s="98">
        <v>23</v>
      </c>
      <c r="X382" s="98">
        <v>519</v>
      </c>
      <c r="Y382" s="98">
        <v>40</v>
      </c>
      <c r="Z382" s="98">
        <v>454</v>
      </c>
      <c r="AA382" s="98">
        <v>49</v>
      </c>
      <c r="AB382" s="98">
        <v>447</v>
      </c>
      <c r="AC382" s="98">
        <v>38</v>
      </c>
      <c r="AD382" s="98">
        <v>456</v>
      </c>
      <c r="AE382" s="98">
        <v>36</v>
      </c>
      <c r="AF382" s="95">
        <v>440</v>
      </c>
      <c r="AG382" s="98">
        <v>29</v>
      </c>
      <c r="AH382" s="96">
        <v>451</v>
      </c>
      <c r="AI382" s="96">
        <v>41</v>
      </c>
      <c r="AJ382" s="95">
        <v>431</v>
      </c>
      <c r="AK382" s="95">
        <v>21</v>
      </c>
      <c r="AL382" s="96">
        <v>418</v>
      </c>
      <c r="AM382" s="96">
        <v>23</v>
      </c>
      <c r="AN382" s="96">
        <v>459</v>
      </c>
      <c r="AO382" s="96">
        <v>36</v>
      </c>
      <c r="AP382" s="96">
        <v>442</v>
      </c>
      <c r="AQ382" s="96">
        <v>38</v>
      </c>
      <c r="AR382" s="96">
        <v>456</v>
      </c>
      <c r="AS382" s="93">
        <v>42</v>
      </c>
      <c r="AT382" s="96">
        <v>433</v>
      </c>
      <c r="AU382" s="96">
        <v>31</v>
      </c>
      <c r="AV382" s="99">
        <v>433</v>
      </c>
      <c r="AW382" s="98">
        <v>37</v>
      </c>
      <c r="AX382" s="98">
        <v>448</v>
      </c>
      <c r="AY382" s="98">
        <v>29</v>
      </c>
      <c r="AZ382" s="98">
        <v>449</v>
      </c>
      <c r="BA382" s="98">
        <v>23</v>
      </c>
      <c r="BB382" s="98">
        <v>415</v>
      </c>
      <c r="BC382" s="98">
        <v>25</v>
      </c>
      <c r="BD382" s="98">
        <v>430</v>
      </c>
      <c r="BE382" s="98">
        <v>28</v>
      </c>
      <c r="BF382" s="98">
        <v>433</v>
      </c>
      <c r="BG382" s="98">
        <v>31</v>
      </c>
      <c r="BI382" s="93">
        <v>448</v>
      </c>
      <c r="BJ382" s="98">
        <v>28</v>
      </c>
      <c r="BK382" s="98">
        <v>436</v>
      </c>
      <c r="BL382" s="98">
        <v>68</v>
      </c>
      <c r="BM382" s="98">
        <v>420</v>
      </c>
      <c r="BN382" s="98">
        <v>46</v>
      </c>
      <c r="BO382" s="99">
        <v>453</v>
      </c>
      <c r="BP382" s="98">
        <v>22</v>
      </c>
      <c r="BQ382" s="99">
        <v>457</v>
      </c>
      <c r="BR382" s="98">
        <v>22</v>
      </c>
      <c r="CD382" s="3"/>
      <c r="CE382" s="3"/>
      <c r="CF382" s="3"/>
    </row>
    <row r="383" spans="1:90" s="98" customFormat="1">
      <c r="A383" s="3" t="s">
        <v>572</v>
      </c>
      <c r="B383" s="92" t="s">
        <v>244</v>
      </c>
      <c r="C383" s="3"/>
      <c r="D383" s="93">
        <v>11.004</v>
      </c>
      <c r="E383" s="94">
        <v>0.91410000000000002</v>
      </c>
      <c r="F383" s="94">
        <v>5.4000000000000003E-3</v>
      </c>
      <c r="G383" s="95">
        <v>30.67</v>
      </c>
      <c r="H383" s="96">
        <v>0.92</v>
      </c>
      <c r="I383" s="97">
        <v>0.24379999999999999</v>
      </c>
      <c r="J383" s="95">
        <v>6.7000000000000002E-3</v>
      </c>
      <c r="K383" s="96">
        <v>0.70982000000000001</v>
      </c>
      <c r="M383" s="99">
        <v>1406.5</v>
      </c>
      <c r="N383" s="98">
        <v>35</v>
      </c>
      <c r="O383" s="99" t="s">
        <v>480</v>
      </c>
      <c r="P383" s="98" t="s">
        <v>481</v>
      </c>
      <c r="Q383" s="98" t="s">
        <v>480</v>
      </c>
      <c r="R383" s="97" t="s">
        <v>480</v>
      </c>
      <c r="T383" s="98">
        <v>490</v>
      </c>
      <c r="U383" s="98">
        <v>140</v>
      </c>
      <c r="V383" s="98">
        <v>496</v>
      </c>
      <c r="W383" s="98">
        <v>43</v>
      </c>
      <c r="X383" s="98">
        <v>545</v>
      </c>
      <c r="Y383" s="98">
        <v>51</v>
      </c>
      <c r="Z383" s="98">
        <v>472</v>
      </c>
      <c r="AA383" s="98">
        <v>42</v>
      </c>
      <c r="AB383" s="98">
        <v>450</v>
      </c>
      <c r="AC383" s="98">
        <v>35</v>
      </c>
      <c r="AD383" s="98">
        <v>491</v>
      </c>
      <c r="AE383" s="98">
        <v>42</v>
      </c>
      <c r="AF383" s="95">
        <v>465</v>
      </c>
      <c r="AG383" s="98">
        <v>34</v>
      </c>
      <c r="AH383" s="96">
        <v>449</v>
      </c>
      <c r="AI383" s="96">
        <v>44</v>
      </c>
      <c r="AJ383" s="95">
        <v>471</v>
      </c>
      <c r="AK383" s="95">
        <v>34</v>
      </c>
      <c r="AL383" s="96">
        <v>455</v>
      </c>
      <c r="AM383" s="96">
        <v>38</v>
      </c>
      <c r="AN383" s="96">
        <v>501</v>
      </c>
      <c r="AO383" s="96">
        <v>48</v>
      </c>
      <c r="AP383" s="96">
        <v>462</v>
      </c>
      <c r="AQ383" s="96">
        <v>39</v>
      </c>
      <c r="AR383" s="96">
        <v>442</v>
      </c>
      <c r="AS383" s="93">
        <v>34</v>
      </c>
      <c r="AT383" s="96">
        <v>438</v>
      </c>
      <c r="AU383" s="96">
        <v>28</v>
      </c>
      <c r="AV383" s="99">
        <v>444</v>
      </c>
      <c r="AW383" s="98">
        <v>26</v>
      </c>
      <c r="AX383" s="98">
        <v>452</v>
      </c>
      <c r="AY383" s="98">
        <v>25</v>
      </c>
      <c r="AZ383" s="98">
        <v>475</v>
      </c>
      <c r="BA383" s="98">
        <v>32</v>
      </c>
      <c r="BB383" s="98">
        <v>458</v>
      </c>
      <c r="BC383" s="98">
        <v>36</v>
      </c>
      <c r="BD383" s="98">
        <v>493</v>
      </c>
      <c r="BE383" s="98">
        <v>51</v>
      </c>
      <c r="BF383" s="98">
        <v>449</v>
      </c>
      <c r="BG383" s="98">
        <v>39</v>
      </c>
      <c r="BI383" s="93">
        <v>491</v>
      </c>
      <c r="BJ383" s="98">
        <v>38</v>
      </c>
      <c r="BK383" s="98">
        <v>469</v>
      </c>
      <c r="BL383" s="98">
        <v>65</v>
      </c>
      <c r="BM383" s="98">
        <v>450</v>
      </c>
      <c r="BN383" s="98">
        <v>40</v>
      </c>
      <c r="BO383" s="99">
        <v>460</v>
      </c>
      <c r="BP383" s="98">
        <v>33</v>
      </c>
      <c r="BQ383" s="99">
        <v>466</v>
      </c>
      <c r="BR383" s="98">
        <v>33</v>
      </c>
      <c r="CD383" s="3"/>
      <c r="CE383" s="3"/>
      <c r="CF383" s="3"/>
    </row>
    <row r="384" spans="1:90" s="98" customFormat="1">
      <c r="A384" s="3" t="s">
        <v>573</v>
      </c>
      <c r="B384" s="92" t="s">
        <v>244</v>
      </c>
      <c r="C384" s="3"/>
      <c r="D384" s="93">
        <v>11.037000000000001</v>
      </c>
      <c r="E384" s="94">
        <v>0.91390000000000005</v>
      </c>
      <c r="F384" s="94">
        <v>5.8999999999999999E-3</v>
      </c>
      <c r="G384" s="95">
        <v>30.62</v>
      </c>
      <c r="H384" s="96">
        <v>0.92</v>
      </c>
      <c r="I384" s="97">
        <v>0.24349999999999999</v>
      </c>
      <c r="J384" s="95">
        <v>6.7000000000000002E-3</v>
      </c>
      <c r="K384" s="96">
        <v>0.63139000000000001</v>
      </c>
      <c r="M384" s="99">
        <v>1404.8</v>
      </c>
      <c r="N384" s="98">
        <v>34</v>
      </c>
      <c r="O384" s="99" t="s">
        <v>480</v>
      </c>
      <c r="P384" s="98" t="s">
        <v>481</v>
      </c>
      <c r="Q384" s="98" t="s">
        <v>480</v>
      </c>
      <c r="R384" s="97" t="s">
        <v>480</v>
      </c>
      <c r="T384" s="98">
        <v>370</v>
      </c>
      <c r="U384" s="98">
        <v>140</v>
      </c>
      <c r="V384" s="98">
        <v>473</v>
      </c>
      <c r="W384" s="98">
        <v>41</v>
      </c>
      <c r="X384" s="98">
        <v>543</v>
      </c>
      <c r="Y384" s="98">
        <v>44</v>
      </c>
      <c r="Z384" s="98">
        <v>489</v>
      </c>
      <c r="AA384" s="98">
        <v>45</v>
      </c>
      <c r="AB384" s="98">
        <v>447</v>
      </c>
      <c r="AC384" s="98">
        <v>33</v>
      </c>
      <c r="AD384" s="98">
        <v>492</v>
      </c>
      <c r="AE384" s="98">
        <v>37</v>
      </c>
      <c r="AF384" s="95">
        <v>470</v>
      </c>
      <c r="AG384" s="98">
        <v>26</v>
      </c>
      <c r="AH384" s="96">
        <v>463</v>
      </c>
      <c r="AI384" s="96">
        <v>34</v>
      </c>
      <c r="AJ384" s="95">
        <v>477</v>
      </c>
      <c r="AK384" s="95">
        <v>25</v>
      </c>
      <c r="AL384" s="96">
        <v>468</v>
      </c>
      <c r="AM384" s="96">
        <v>32</v>
      </c>
      <c r="AN384" s="96">
        <v>486</v>
      </c>
      <c r="AO384" s="96">
        <v>43</v>
      </c>
      <c r="AP384" s="96">
        <v>469</v>
      </c>
      <c r="AQ384" s="96">
        <v>31</v>
      </c>
      <c r="AR384" s="96">
        <v>473</v>
      </c>
      <c r="AS384" s="93">
        <v>33</v>
      </c>
      <c r="AT384" s="96">
        <v>440</v>
      </c>
      <c r="AU384" s="96">
        <v>27</v>
      </c>
      <c r="AV384" s="99">
        <v>470</v>
      </c>
      <c r="AW384" s="98">
        <v>33</v>
      </c>
      <c r="AX384" s="98">
        <v>462</v>
      </c>
      <c r="AY384" s="98">
        <v>31</v>
      </c>
      <c r="AZ384" s="98">
        <v>470</v>
      </c>
      <c r="BA384" s="98">
        <v>32</v>
      </c>
      <c r="BB384" s="98">
        <v>457</v>
      </c>
      <c r="BC384" s="98">
        <v>32</v>
      </c>
      <c r="BD384" s="98">
        <v>481</v>
      </c>
      <c r="BE384" s="98">
        <v>42</v>
      </c>
      <c r="BF384" s="98">
        <v>444</v>
      </c>
      <c r="BG384" s="98">
        <v>35</v>
      </c>
      <c r="BI384" s="93">
        <v>492</v>
      </c>
      <c r="BJ384" s="98">
        <v>29</v>
      </c>
      <c r="BK384" s="98">
        <v>455</v>
      </c>
      <c r="BL384" s="98">
        <v>39</v>
      </c>
      <c r="BM384" s="98">
        <v>457</v>
      </c>
      <c r="BN384" s="98">
        <v>40</v>
      </c>
      <c r="BO384" s="99">
        <v>467</v>
      </c>
      <c r="BP384" s="98">
        <v>26</v>
      </c>
      <c r="BQ384" s="99">
        <v>474</v>
      </c>
      <c r="BR384" s="98">
        <v>27</v>
      </c>
      <c r="CD384" s="3"/>
      <c r="CE384" s="3"/>
      <c r="CF384" s="3"/>
    </row>
    <row r="385" spans="1:84" s="98" customFormat="1">
      <c r="A385" s="3" t="s">
        <v>574</v>
      </c>
      <c r="B385" s="92" t="s">
        <v>244</v>
      </c>
      <c r="C385" s="3"/>
      <c r="D385" s="93">
        <v>11.012</v>
      </c>
      <c r="E385" s="94">
        <v>0.91339999999999999</v>
      </c>
      <c r="F385" s="94">
        <v>4.7999999999999996E-3</v>
      </c>
      <c r="G385" s="95">
        <v>30.78</v>
      </c>
      <c r="H385" s="96">
        <v>0.91</v>
      </c>
      <c r="I385" s="97">
        <v>0.24510000000000001</v>
      </c>
      <c r="J385" s="95">
        <v>6.7000000000000002E-3</v>
      </c>
      <c r="K385" s="96">
        <v>0.69476000000000004</v>
      </c>
      <c r="M385" s="99">
        <v>1413</v>
      </c>
      <c r="N385" s="98">
        <v>35</v>
      </c>
      <c r="O385" s="99" t="s">
        <v>480</v>
      </c>
      <c r="P385" s="98" t="s">
        <v>481</v>
      </c>
      <c r="Q385" s="98" t="s">
        <v>480</v>
      </c>
      <c r="R385" s="97" t="s">
        <v>480</v>
      </c>
      <c r="T385" s="98">
        <v>330</v>
      </c>
      <c r="U385" s="98">
        <v>140</v>
      </c>
      <c r="V385" s="98">
        <v>452</v>
      </c>
      <c r="W385" s="98">
        <v>38</v>
      </c>
      <c r="X385" s="98">
        <v>526</v>
      </c>
      <c r="Y385" s="98">
        <v>52</v>
      </c>
      <c r="Z385" s="98">
        <v>450</v>
      </c>
      <c r="AA385" s="98">
        <v>38</v>
      </c>
      <c r="AB385" s="98">
        <v>441</v>
      </c>
      <c r="AC385" s="98">
        <v>30</v>
      </c>
      <c r="AD385" s="98">
        <v>446</v>
      </c>
      <c r="AE385" s="98">
        <v>37</v>
      </c>
      <c r="AF385" s="95">
        <v>434</v>
      </c>
      <c r="AG385" s="98">
        <v>31</v>
      </c>
      <c r="AH385" s="96">
        <v>445</v>
      </c>
      <c r="AI385" s="96">
        <v>43</v>
      </c>
      <c r="AJ385" s="95">
        <v>449</v>
      </c>
      <c r="AK385" s="95">
        <v>35</v>
      </c>
      <c r="AL385" s="96">
        <v>417</v>
      </c>
      <c r="AM385" s="96">
        <v>32</v>
      </c>
      <c r="AN385" s="96">
        <v>442</v>
      </c>
      <c r="AO385" s="96">
        <v>27</v>
      </c>
      <c r="AP385" s="96">
        <v>444</v>
      </c>
      <c r="AQ385" s="96">
        <v>36</v>
      </c>
      <c r="AR385" s="96">
        <v>441</v>
      </c>
      <c r="AS385" s="93">
        <v>41</v>
      </c>
      <c r="AT385" s="96">
        <v>437</v>
      </c>
      <c r="AU385" s="96">
        <v>43</v>
      </c>
      <c r="AV385" s="99">
        <v>438</v>
      </c>
      <c r="AW385" s="98">
        <v>36</v>
      </c>
      <c r="AX385" s="98">
        <v>432</v>
      </c>
      <c r="AY385" s="98">
        <v>32</v>
      </c>
      <c r="AZ385" s="98">
        <v>461</v>
      </c>
      <c r="BA385" s="98">
        <v>33</v>
      </c>
      <c r="BB385" s="98">
        <v>440</v>
      </c>
      <c r="BC385" s="98">
        <v>37</v>
      </c>
      <c r="BD385" s="98">
        <v>446</v>
      </c>
      <c r="BE385" s="98">
        <v>45</v>
      </c>
      <c r="BF385" s="98">
        <v>425</v>
      </c>
      <c r="BG385" s="98">
        <v>35</v>
      </c>
      <c r="BI385" s="93">
        <v>442</v>
      </c>
      <c r="BJ385" s="98">
        <v>41</v>
      </c>
      <c r="BK385" s="98">
        <v>425</v>
      </c>
      <c r="BL385" s="98">
        <v>45</v>
      </c>
      <c r="BM385" s="98">
        <v>441</v>
      </c>
      <c r="BN385" s="98">
        <v>37</v>
      </c>
      <c r="BO385" s="99">
        <v>445</v>
      </c>
      <c r="BP385" s="98">
        <v>34</v>
      </c>
      <c r="BQ385" s="99">
        <v>448</v>
      </c>
      <c r="BR385" s="98">
        <v>34</v>
      </c>
      <c r="CD385" s="3"/>
      <c r="CE385" s="3"/>
      <c r="CF385" s="3"/>
    </row>
    <row r="386" spans="1:84" s="98" customFormat="1">
      <c r="A386" s="3" t="s">
        <v>575</v>
      </c>
      <c r="B386" s="92" t="s">
        <v>244</v>
      </c>
      <c r="C386" s="3"/>
      <c r="D386" s="93">
        <v>11.003</v>
      </c>
      <c r="E386" s="94">
        <v>0.9143</v>
      </c>
      <c r="F386" s="94">
        <v>5.7000000000000002E-3</v>
      </c>
      <c r="G386" s="95">
        <v>30.77</v>
      </c>
      <c r="H386" s="96">
        <v>0.91</v>
      </c>
      <c r="I386" s="97">
        <v>0.24490000000000001</v>
      </c>
      <c r="J386" s="95">
        <v>6.6E-3</v>
      </c>
      <c r="K386" s="96">
        <v>0.54551000000000005</v>
      </c>
      <c r="M386" s="99">
        <v>1411.8</v>
      </c>
      <c r="N386" s="98">
        <v>34</v>
      </c>
      <c r="O386" s="99" t="s">
        <v>480</v>
      </c>
      <c r="P386" s="98" t="s">
        <v>481</v>
      </c>
      <c r="Q386" s="98" t="s">
        <v>480</v>
      </c>
      <c r="R386" s="97" t="s">
        <v>480</v>
      </c>
      <c r="T386" s="98">
        <v>280</v>
      </c>
      <c r="U386" s="98">
        <v>130</v>
      </c>
      <c r="V386" s="98">
        <v>459</v>
      </c>
      <c r="W386" s="98">
        <v>50</v>
      </c>
      <c r="X386" s="98">
        <v>522</v>
      </c>
      <c r="Y386" s="98">
        <v>70</v>
      </c>
      <c r="Z386" s="98">
        <v>458</v>
      </c>
      <c r="AA386" s="98">
        <v>53</v>
      </c>
      <c r="AB386" s="98">
        <v>461</v>
      </c>
      <c r="AC386" s="98">
        <v>62</v>
      </c>
      <c r="AD386" s="98">
        <v>446</v>
      </c>
      <c r="AE386" s="98">
        <v>46</v>
      </c>
      <c r="AF386" s="95">
        <v>426</v>
      </c>
      <c r="AG386" s="98">
        <v>38</v>
      </c>
      <c r="AH386" s="96">
        <v>444</v>
      </c>
      <c r="AI386" s="96">
        <v>47</v>
      </c>
      <c r="AJ386" s="95">
        <v>436</v>
      </c>
      <c r="AK386" s="95">
        <v>35</v>
      </c>
      <c r="AL386" s="96">
        <v>432</v>
      </c>
      <c r="AM386" s="96">
        <v>51</v>
      </c>
      <c r="AN386" s="96">
        <v>437</v>
      </c>
      <c r="AO386" s="96">
        <v>49</v>
      </c>
      <c r="AP386" s="96">
        <v>455</v>
      </c>
      <c r="AQ386" s="96">
        <v>65</v>
      </c>
      <c r="AR386" s="96">
        <v>427</v>
      </c>
      <c r="AS386" s="93">
        <v>51</v>
      </c>
      <c r="AT386" s="96">
        <v>431</v>
      </c>
      <c r="AU386" s="96">
        <v>37</v>
      </c>
      <c r="AV386" s="99">
        <v>450</v>
      </c>
      <c r="AW386" s="98">
        <v>45</v>
      </c>
      <c r="AX386" s="98">
        <v>451</v>
      </c>
      <c r="AY386" s="98">
        <v>50</v>
      </c>
      <c r="AZ386" s="98">
        <v>461</v>
      </c>
      <c r="BA386" s="98">
        <v>53</v>
      </c>
      <c r="BB386" s="98">
        <v>428</v>
      </c>
      <c r="BC386" s="98">
        <v>44</v>
      </c>
      <c r="BD386" s="98">
        <v>435</v>
      </c>
      <c r="BE386" s="98">
        <v>58</v>
      </c>
      <c r="BF386" s="98">
        <v>439</v>
      </c>
      <c r="BG386" s="98">
        <v>65</v>
      </c>
      <c r="BI386" s="93">
        <v>444</v>
      </c>
      <c r="BJ386" s="98">
        <v>61</v>
      </c>
      <c r="BK386" s="98">
        <v>507</v>
      </c>
      <c r="BL386" s="98">
        <v>85</v>
      </c>
      <c r="BM386" s="98">
        <v>414</v>
      </c>
      <c r="BN386" s="98">
        <v>51</v>
      </c>
      <c r="BO386" s="99">
        <v>446</v>
      </c>
      <c r="BP386" s="98">
        <v>43</v>
      </c>
      <c r="BQ386" s="99">
        <v>448</v>
      </c>
      <c r="BR386" s="98">
        <v>44</v>
      </c>
      <c r="CD386" s="3"/>
      <c r="CE386" s="3"/>
      <c r="CF386" s="3"/>
    </row>
    <row r="387" spans="1:84" s="98" customFormat="1">
      <c r="A387" s="3" t="s">
        <v>576</v>
      </c>
      <c r="B387" s="92" t="s">
        <v>244</v>
      </c>
      <c r="C387" s="3"/>
      <c r="D387" s="93">
        <v>11.081</v>
      </c>
      <c r="E387" s="94">
        <v>0.91349999999999998</v>
      </c>
      <c r="F387" s="94">
        <v>6.0000000000000001E-3</v>
      </c>
      <c r="G387" s="95">
        <v>30.7</v>
      </c>
      <c r="H387" s="96">
        <v>0.92</v>
      </c>
      <c r="I387" s="97">
        <v>0.24460999999999999</v>
      </c>
      <c r="J387" s="95">
        <v>6.6E-3</v>
      </c>
      <c r="K387" s="96">
        <v>0.56589999999999996</v>
      </c>
      <c r="M387" s="99">
        <v>1410.6</v>
      </c>
      <c r="N387" s="98">
        <v>34</v>
      </c>
      <c r="O387" s="99" t="s">
        <v>480</v>
      </c>
      <c r="P387" s="98" t="s">
        <v>481</v>
      </c>
      <c r="Q387" s="98" t="s">
        <v>480</v>
      </c>
      <c r="R387" s="97" t="s">
        <v>480</v>
      </c>
      <c r="T387" s="98">
        <v>620</v>
      </c>
      <c r="U387" s="98">
        <v>150</v>
      </c>
      <c r="V387" s="98">
        <v>463</v>
      </c>
      <c r="W387" s="98">
        <v>48</v>
      </c>
      <c r="X387" s="98">
        <v>520</v>
      </c>
      <c r="Y387" s="98">
        <v>42</v>
      </c>
      <c r="Z387" s="98">
        <v>483</v>
      </c>
      <c r="AA387" s="98">
        <v>47</v>
      </c>
      <c r="AB387" s="98">
        <v>445</v>
      </c>
      <c r="AC387" s="98">
        <v>35</v>
      </c>
      <c r="AD387" s="98">
        <v>488</v>
      </c>
      <c r="AE387" s="98">
        <v>45</v>
      </c>
      <c r="AF387" s="95">
        <v>459</v>
      </c>
      <c r="AG387" s="98">
        <v>34</v>
      </c>
      <c r="AH387" s="96">
        <v>459</v>
      </c>
      <c r="AI387" s="96">
        <v>50</v>
      </c>
      <c r="AJ387" s="95">
        <v>467</v>
      </c>
      <c r="AK387" s="95">
        <v>35</v>
      </c>
      <c r="AL387" s="96">
        <v>439</v>
      </c>
      <c r="AM387" s="96">
        <v>33</v>
      </c>
      <c r="AN387" s="96">
        <v>489</v>
      </c>
      <c r="AO387" s="96">
        <v>51</v>
      </c>
      <c r="AP387" s="96">
        <v>460</v>
      </c>
      <c r="AQ387" s="96">
        <v>38</v>
      </c>
      <c r="AR387" s="96">
        <v>458</v>
      </c>
      <c r="AS387" s="93">
        <v>53</v>
      </c>
      <c r="AT387" s="96">
        <v>437</v>
      </c>
      <c r="AU387" s="96">
        <v>40</v>
      </c>
      <c r="AV387" s="99">
        <v>457</v>
      </c>
      <c r="AW387" s="98">
        <v>39</v>
      </c>
      <c r="AX387" s="98">
        <v>449</v>
      </c>
      <c r="AY387" s="98">
        <v>37</v>
      </c>
      <c r="AZ387" s="98">
        <v>478</v>
      </c>
      <c r="BA387" s="98">
        <v>41</v>
      </c>
      <c r="BB387" s="98">
        <v>450</v>
      </c>
      <c r="BC387" s="98">
        <v>34</v>
      </c>
      <c r="BD387" s="98">
        <v>445</v>
      </c>
      <c r="BE387" s="98">
        <v>31</v>
      </c>
      <c r="BF387" s="98">
        <v>448</v>
      </c>
      <c r="BG387" s="98">
        <v>31</v>
      </c>
      <c r="BI387" s="93">
        <v>464</v>
      </c>
      <c r="BJ387" s="98">
        <v>40</v>
      </c>
      <c r="BK387" s="98">
        <v>471</v>
      </c>
      <c r="BL387" s="98">
        <v>52</v>
      </c>
      <c r="BM387" s="98">
        <v>431</v>
      </c>
      <c r="BN387" s="98">
        <v>49</v>
      </c>
      <c r="BO387" s="99">
        <v>466</v>
      </c>
      <c r="BP387" s="98">
        <v>35</v>
      </c>
      <c r="BQ387" s="99">
        <v>471</v>
      </c>
      <c r="BR387" s="98">
        <v>35</v>
      </c>
      <c r="CD387" s="3"/>
      <c r="CE387" s="3"/>
      <c r="CF387" s="3"/>
    </row>
    <row r="388" spans="1:84" s="98" customFormat="1">
      <c r="A388" s="3" t="s">
        <v>577</v>
      </c>
      <c r="B388" s="92" t="s">
        <v>244</v>
      </c>
      <c r="C388" s="3"/>
      <c r="D388" s="93">
        <v>11.015000000000001</v>
      </c>
      <c r="E388" s="94">
        <v>0.91239999999999999</v>
      </c>
      <c r="F388" s="94">
        <v>6.7000000000000002E-3</v>
      </c>
      <c r="G388" s="95">
        <v>30.51</v>
      </c>
      <c r="H388" s="96">
        <v>0.91</v>
      </c>
      <c r="I388" s="97">
        <v>0.24338000000000001</v>
      </c>
      <c r="J388" s="95">
        <v>6.6E-3</v>
      </c>
      <c r="K388" s="96">
        <v>0.44907999999999998</v>
      </c>
      <c r="M388" s="99">
        <v>1404.3</v>
      </c>
      <c r="N388" s="98">
        <v>34</v>
      </c>
      <c r="O388" s="99" t="s">
        <v>480</v>
      </c>
      <c r="P388" s="98" t="s">
        <v>481</v>
      </c>
      <c r="Q388" s="98" t="s">
        <v>480</v>
      </c>
      <c r="R388" s="97" t="s">
        <v>480</v>
      </c>
      <c r="T388" s="98">
        <v>450</v>
      </c>
      <c r="U388" s="98">
        <v>150</v>
      </c>
      <c r="V388" s="98">
        <v>454</v>
      </c>
      <c r="W388" s="98">
        <v>35</v>
      </c>
      <c r="X388" s="98">
        <v>510</v>
      </c>
      <c r="Y388" s="98">
        <v>47</v>
      </c>
      <c r="Z388" s="98">
        <v>464</v>
      </c>
      <c r="AA388" s="98">
        <v>42</v>
      </c>
      <c r="AB388" s="98">
        <v>449</v>
      </c>
      <c r="AC388" s="98">
        <v>45</v>
      </c>
      <c r="AD388" s="98">
        <v>457</v>
      </c>
      <c r="AE388" s="98">
        <v>42</v>
      </c>
      <c r="AF388" s="95">
        <v>442</v>
      </c>
      <c r="AG388" s="98">
        <v>29</v>
      </c>
      <c r="AH388" s="96">
        <v>460</v>
      </c>
      <c r="AI388" s="96">
        <v>49</v>
      </c>
      <c r="AJ388" s="95">
        <v>448</v>
      </c>
      <c r="AK388" s="95">
        <v>31</v>
      </c>
      <c r="AL388" s="96">
        <v>434</v>
      </c>
      <c r="AM388" s="96">
        <v>29</v>
      </c>
      <c r="AN388" s="96">
        <v>462</v>
      </c>
      <c r="AO388" s="96">
        <v>38</v>
      </c>
      <c r="AP388" s="96">
        <v>445</v>
      </c>
      <c r="AQ388" s="96">
        <v>44</v>
      </c>
      <c r="AR388" s="96">
        <v>458</v>
      </c>
      <c r="AS388" s="93">
        <v>45</v>
      </c>
      <c r="AT388" s="96">
        <v>446</v>
      </c>
      <c r="AU388" s="96">
        <v>41</v>
      </c>
      <c r="AV388" s="99">
        <v>435</v>
      </c>
      <c r="AW388" s="98">
        <v>37</v>
      </c>
      <c r="AX388" s="98">
        <v>463</v>
      </c>
      <c r="AY388" s="98">
        <v>36</v>
      </c>
      <c r="AZ388" s="98">
        <v>444</v>
      </c>
      <c r="BA388" s="98">
        <v>28</v>
      </c>
      <c r="BB388" s="98">
        <v>437</v>
      </c>
      <c r="BC388" s="98">
        <v>34</v>
      </c>
      <c r="BD388" s="98">
        <v>466</v>
      </c>
      <c r="BE388" s="98">
        <v>35</v>
      </c>
      <c r="BF388" s="98">
        <v>445</v>
      </c>
      <c r="BG388" s="98">
        <v>37</v>
      </c>
      <c r="BI388" s="93">
        <v>467</v>
      </c>
      <c r="BJ388" s="98">
        <v>47</v>
      </c>
      <c r="BK388" s="98">
        <v>462</v>
      </c>
      <c r="BL388" s="98">
        <v>64</v>
      </c>
      <c r="BM388" s="98">
        <v>469</v>
      </c>
      <c r="BN388" s="98">
        <v>47</v>
      </c>
      <c r="BO388" s="99">
        <v>460</v>
      </c>
      <c r="BP388" s="98">
        <v>35</v>
      </c>
      <c r="BQ388" s="99">
        <v>465</v>
      </c>
      <c r="BR388" s="98">
        <v>35</v>
      </c>
      <c r="CD388" s="3"/>
      <c r="CE388" s="3"/>
      <c r="CF388" s="3"/>
    </row>
    <row r="389" spans="1:84" s="98" customFormat="1">
      <c r="A389" s="3" t="s">
        <v>578</v>
      </c>
      <c r="B389" s="92" t="s">
        <v>244</v>
      </c>
      <c r="C389" s="3"/>
      <c r="D389" s="93">
        <v>11.013999999999999</v>
      </c>
      <c r="E389" s="94">
        <v>0.9123</v>
      </c>
      <c r="F389" s="94">
        <v>5.7000000000000002E-3</v>
      </c>
      <c r="G389" s="95">
        <v>30.62</v>
      </c>
      <c r="H389" s="96">
        <v>0.91</v>
      </c>
      <c r="I389" s="97">
        <v>0.24426</v>
      </c>
      <c r="J389" s="95">
        <v>6.6E-3</v>
      </c>
      <c r="K389" s="96">
        <v>0.58970999999999996</v>
      </c>
      <c r="M389" s="99">
        <v>1408.8</v>
      </c>
      <c r="N389" s="98">
        <v>34</v>
      </c>
      <c r="O389" s="99" t="s">
        <v>480</v>
      </c>
      <c r="P389" s="98" t="s">
        <v>481</v>
      </c>
      <c r="Q389" s="98" t="s">
        <v>480</v>
      </c>
      <c r="R389" s="97" t="s">
        <v>480</v>
      </c>
      <c r="T389" s="98">
        <v>370</v>
      </c>
      <c r="U389" s="98">
        <v>120</v>
      </c>
      <c r="V389" s="98">
        <v>441</v>
      </c>
      <c r="W389" s="98">
        <v>30</v>
      </c>
      <c r="X389" s="98">
        <v>504</v>
      </c>
      <c r="Y389" s="98">
        <v>48</v>
      </c>
      <c r="Z389" s="98">
        <v>463</v>
      </c>
      <c r="AA389" s="98">
        <v>33</v>
      </c>
      <c r="AB389" s="98">
        <v>447</v>
      </c>
      <c r="AC389" s="98">
        <v>32</v>
      </c>
      <c r="AD389" s="98">
        <v>456</v>
      </c>
      <c r="AE389" s="98">
        <v>39</v>
      </c>
      <c r="AF389" s="95">
        <v>433</v>
      </c>
      <c r="AG389" s="98">
        <v>29</v>
      </c>
      <c r="AH389" s="96">
        <v>465</v>
      </c>
      <c r="AI389" s="96">
        <v>43</v>
      </c>
      <c r="AJ389" s="95">
        <v>443</v>
      </c>
      <c r="AK389" s="95">
        <v>30</v>
      </c>
      <c r="AL389" s="96">
        <v>427</v>
      </c>
      <c r="AM389" s="96">
        <v>35</v>
      </c>
      <c r="AN389" s="96">
        <v>436</v>
      </c>
      <c r="AO389" s="96">
        <v>26</v>
      </c>
      <c r="AP389" s="96">
        <v>438</v>
      </c>
      <c r="AQ389" s="96">
        <v>34</v>
      </c>
      <c r="AR389" s="96">
        <v>437</v>
      </c>
      <c r="AS389" s="93">
        <v>31</v>
      </c>
      <c r="AT389" s="96">
        <v>440</v>
      </c>
      <c r="AU389" s="96">
        <v>35</v>
      </c>
      <c r="AV389" s="99">
        <v>424</v>
      </c>
      <c r="AW389" s="98">
        <v>30</v>
      </c>
      <c r="AX389" s="98">
        <v>440</v>
      </c>
      <c r="AY389" s="98">
        <v>34</v>
      </c>
      <c r="AZ389" s="98">
        <v>453</v>
      </c>
      <c r="BA389" s="98">
        <v>30</v>
      </c>
      <c r="BB389" s="98">
        <v>438</v>
      </c>
      <c r="BC389" s="98">
        <v>33</v>
      </c>
      <c r="BD389" s="98">
        <v>446</v>
      </c>
      <c r="BE389" s="98">
        <v>45</v>
      </c>
      <c r="BF389" s="98">
        <v>432</v>
      </c>
      <c r="BG389" s="98">
        <v>35</v>
      </c>
      <c r="BI389" s="93">
        <v>424</v>
      </c>
      <c r="BJ389" s="98">
        <v>36</v>
      </c>
      <c r="BK389" s="98">
        <v>436</v>
      </c>
      <c r="BL389" s="98">
        <v>60</v>
      </c>
      <c r="BM389" s="98">
        <v>410</v>
      </c>
      <c r="BN389" s="98">
        <v>42</v>
      </c>
      <c r="BO389" s="99">
        <v>462</v>
      </c>
      <c r="BP389" s="98">
        <v>32</v>
      </c>
      <c r="BQ389" s="99">
        <v>466</v>
      </c>
      <c r="BR389" s="98">
        <v>33</v>
      </c>
      <c r="CD389" s="3"/>
      <c r="CE389" s="3"/>
      <c r="CF389" s="3"/>
    </row>
    <row r="390" spans="1:84" s="98" customFormat="1">
      <c r="A390" s="3" t="s">
        <v>579</v>
      </c>
      <c r="B390" s="92" t="s">
        <v>244</v>
      </c>
      <c r="C390" s="3"/>
      <c r="D390" s="93">
        <v>11.006</v>
      </c>
      <c r="E390" s="94">
        <v>0.91349999999999998</v>
      </c>
      <c r="F390" s="94">
        <v>5.7999999999999996E-3</v>
      </c>
      <c r="G390" s="95">
        <v>30.74</v>
      </c>
      <c r="H390" s="96">
        <v>0.92</v>
      </c>
      <c r="I390" s="97">
        <v>0.245</v>
      </c>
      <c r="J390" s="95">
        <v>6.6E-3</v>
      </c>
      <c r="K390" s="96">
        <v>0.63819000000000004</v>
      </c>
      <c r="M390" s="99">
        <v>1412.4</v>
      </c>
      <c r="N390" s="98">
        <v>34</v>
      </c>
      <c r="O390" s="99" t="s">
        <v>480</v>
      </c>
      <c r="P390" s="98" t="s">
        <v>481</v>
      </c>
      <c r="Q390" s="98" t="s">
        <v>480</v>
      </c>
      <c r="R390" s="97" t="s">
        <v>480</v>
      </c>
      <c r="T390" s="98">
        <v>470</v>
      </c>
      <c r="U390" s="98">
        <v>160</v>
      </c>
      <c r="V390" s="98">
        <v>424</v>
      </c>
      <c r="W390" s="98">
        <v>32</v>
      </c>
      <c r="X390" s="98">
        <v>493</v>
      </c>
      <c r="Y390" s="98">
        <v>35</v>
      </c>
      <c r="Z390" s="98">
        <v>463</v>
      </c>
      <c r="AA390" s="98">
        <v>39</v>
      </c>
      <c r="AB390" s="98">
        <v>443</v>
      </c>
      <c r="AC390" s="98">
        <v>38</v>
      </c>
      <c r="AD390" s="98">
        <v>434</v>
      </c>
      <c r="AE390" s="98">
        <v>36</v>
      </c>
      <c r="AF390" s="95">
        <v>419</v>
      </c>
      <c r="AG390" s="98">
        <v>26</v>
      </c>
      <c r="AH390" s="96">
        <v>440</v>
      </c>
      <c r="AI390" s="96">
        <v>39</v>
      </c>
      <c r="AJ390" s="95">
        <v>436</v>
      </c>
      <c r="AK390" s="95">
        <v>29</v>
      </c>
      <c r="AL390" s="96">
        <v>416</v>
      </c>
      <c r="AM390" s="96">
        <v>24</v>
      </c>
      <c r="AN390" s="96">
        <v>443</v>
      </c>
      <c r="AO390" s="96">
        <v>34</v>
      </c>
      <c r="AP390" s="96">
        <v>424</v>
      </c>
      <c r="AQ390" s="96">
        <v>39</v>
      </c>
      <c r="AR390" s="96">
        <v>442</v>
      </c>
      <c r="AS390" s="93">
        <v>46</v>
      </c>
      <c r="AT390" s="96">
        <v>432</v>
      </c>
      <c r="AU390" s="96">
        <v>29</v>
      </c>
      <c r="AV390" s="99">
        <v>419</v>
      </c>
      <c r="AW390" s="98">
        <v>28</v>
      </c>
      <c r="AX390" s="98">
        <v>450</v>
      </c>
      <c r="AY390" s="98">
        <v>25</v>
      </c>
      <c r="AZ390" s="98">
        <v>445</v>
      </c>
      <c r="BA390" s="98">
        <v>26</v>
      </c>
      <c r="BB390" s="98">
        <v>418</v>
      </c>
      <c r="BC390" s="98">
        <v>30</v>
      </c>
      <c r="BD390" s="98">
        <v>445</v>
      </c>
      <c r="BE390" s="98">
        <v>32</v>
      </c>
      <c r="BF390" s="98">
        <v>437</v>
      </c>
      <c r="BG390" s="98">
        <v>37</v>
      </c>
      <c r="BI390" s="93">
        <v>420</v>
      </c>
      <c r="BJ390" s="98">
        <v>32</v>
      </c>
      <c r="BK390" s="98">
        <v>424</v>
      </c>
      <c r="BL390" s="98">
        <v>54</v>
      </c>
      <c r="BM390" s="98">
        <v>423</v>
      </c>
      <c r="BN390" s="98">
        <v>50</v>
      </c>
      <c r="BO390" s="99">
        <v>452</v>
      </c>
      <c r="BP390" s="98">
        <v>27</v>
      </c>
      <c r="BQ390" s="99">
        <v>456</v>
      </c>
      <c r="BR390" s="98">
        <v>28</v>
      </c>
      <c r="CD390" s="3"/>
      <c r="CE390" s="3"/>
      <c r="CF390" s="3"/>
    </row>
    <row r="391" spans="1:84" s="98" customFormat="1">
      <c r="A391" s="3" t="s">
        <v>560</v>
      </c>
      <c r="B391" s="3" t="s">
        <v>268</v>
      </c>
      <c r="C391" s="3"/>
      <c r="D391" s="93">
        <v>7.016</v>
      </c>
      <c r="E391" s="94">
        <v>0.91149999999999998</v>
      </c>
      <c r="F391" s="94">
        <v>6.3E-3</v>
      </c>
      <c r="G391" s="95">
        <v>30.91</v>
      </c>
      <c r="H391" s="96">
        <v>0.77</v>
      </c>
      <c r="I391" s="97">
        <v>0.24618000000000001</v>
      </c>
      <c r="J391" s="95">
        <v>5.3E-3</v>
      </c>
      <c r="K391" s="96">
        <v>0.47399000000000002</v>
      </c>
      <c r="M391" s="99">
        <v>1418.7</v>
      </c>
      <c r="N391" s="98">
        <v>27</v>
      </c>
      <c r="O391" s="99">
        <v>5107.1000000000004</v>
      </c>
      <c r="P391" s="98">
        <v>2.4</v>
      </c>
      <c r="Q391" s="98">
        <v>72.22</v>
      </c>
      <c r="R391" s="97">
        <v>0.73409999999999997</v>
      </c>
      <c r="T391" s="98">
        <v>520</v>
      </c>
      <c r="U391" s="98">
        <v>510</v>
      </c>
      <c r="V391" s="98">
        <v>432</v>
      </c>
      <c r="W391" s="98">
        <v>51</v>
      </c>
      <c r="X391" s="98">
        <v>496</v>
      </c>
      <c r="Y391" s="98">
        <v>39</v>
      </c>
      <c r="Z391" s="98">
        <v>437</v>
      </c>
      <c r="AA391" s="98">
        <v>43</v>
      </c>
      <c r="AB391" s="98">
        <v>432</v>
      </c>
      <c r="AC391" s="98">
        <v>56</v>
      </c>
      <c r="AD391" s="98">
        <v>464</v>
      </c>
      <c r="AE391" s="98">
        <v>41</v>
      </c>
      <c r="AF391" s="95">
        <v>431</v>
      </c>
      <c r="AG391" s="98">
        <v>37</v>
      </c>
      <c r="AH391" s="96">
        <v>428</v>
      </c>
      <c r="AI391" s="96">
        <v>45</v>
      </c>
      <c r="AJ391" s="95">
        <v>427</v>
      </c>
      <c r="AK391" s="95">
        <v>39</v>
      </c>
      <c r="AL391" s="96">
        <v>404</v>
      </c>
      <c r="AM391" s="96">
        <v>50</v>
      </c>
      <c r="AN391" s="96">
        <v>451</v>
      </c>
      <c r="AO391" s="96">
        <v>47</v>
      </c>
      <c r="AP391" s="96">
        <v>433</v>
      </c>
      <c r="AQ391" s="96">
        <v>47</v>
      </c>
      <c r="AR391" s="96">
        <v>419</v>
      </c>
      <c r="AS391" s="93">
        <v>51</v>
      </c>
      <c r="AT391" s="96">
        <v>416</v>
      </c>
      <c r="AU391" s="96">
        <v>48</v>
      </c>
      <c r="AV391" s="99">
        <v>420</v>
      </c>
      <c r="AW391" s="98">
        <v>47</v>
      </c>
      <c r="AX391" s="98">
        <v>431</v>
      </c>
      <c r="AY391" s="98">
        <v>46</v>
      </c>
      <c r="AZ391" s="98">
        <v>443</v>
      </c>
      <c r="BA391" s="98">
        <v>48</v>
      </c>
      <c r="BB391" s="98">
        <v>431</v>
      </c>
      <c r="BC391" s="98">
        <v>54</v>
      </c>
      <c r="BD391" s="98">
        <v>442</v>
      </c>
      <c r="BE391" s="98">
        <v>59</v>
      </c>
      <c r="BF391" s="98">
        <v>433</v>
      </c>
      <c r="BG391" s="98">
        <v>56</v>
      </c>
      <c r="BI391" s="98">
        <v>423</v>
      </c>
      <c r="BJ391" s="98">
        <v>32</v>
      </c>
      <c r="BK391" s="98">
        <v>458</v>
      </c>
      <c r="BL391" s="98">
        <v>58</v>
      </c>
      <c r="BM391" s="98">
        <v>432</v>
      </c>
      <c r="BN391" s="98">
        <v>61</v>
      </c>
      <c r="BO391" s="99">
        <v>447</v>
      </c>
      <c r="BP391" s="98">
        <v>32</v>
      </c>
      <c r="BQ391" s="99">
        <v>444</v>
      </c>
      <c r="BR391" s="98">
        <v>31</v>
      </c>
      <c r="CD391" s="3"/>
      <c r="CE391" s="3"/>
      <c r="CF391" s="3"/>
    </row>
    <row r="392" spans="1:84" s="98" customFormat="1">
      <c r="A392" s="3" t="s">
        <v>561</v>
      </c>
      <c r="B392" s="3" t="s">
        <v>268</v>
      </c>
      <c r="C392" s="3"/>
      <c r="D392" s="93">
        <v>7.0410000000000004</v>
      </c>
      <c r="E392" s="94">
        <v>0.91239999999999999</v>
      </c>
      <c r="F392" s="94">
        <v>7.4999999999999997E-3</v>
      </c>
      <c r="G392" s="95">
        <v>30.83</v>
      </c>
      <c r="H392" s="96">
        <v>0.78</v>
      </c>
      <c r="I392" s="97">
        <v>0.24531</v>
      </c>
      <c r="J392" s="95">
        <v>5.3E-3</v>
      </c>
      <c r="K392" s="96">
        <v>0.12939000000000001</v>
      </c>
      <c r="M392" s="99">
        <v>1414.2</v>
      </c>
      <c r="N392" s="98">
        <v>27</v>
      </c>
      <c r="O392" s="99">
        <v>5107.7</v>
      </c>
      <c r="P392" s="98">
        <v>2.6</v>
      </c>
      <c r="Q392" s="98">
        <v>72.311999999999998</v>
      </c>
      <c r="R392" s="97">
        <v>0.73540000000000005</v>
      </c>
      <c r="T392" s="98">
        <v>350</v>
      </c>
      <c r="U392" s="98">
        <v>400</v>
      </c>
      <c r="V392" s="98">
        <v>425</v>
      </c>
      <c r="W392" s="98">
        <v>33</v>
      </c>
      <c r="X392" s="98">
        <v>518</v>
      </c>
      <c r="Y392" s="98">
        <v>40</v>
      </c>
      <c r="Z392" s="98">
        <v>468</v>
      </c>
      <c r="AA392" s="98">
        <v>33</v>
      </c>
      <c r="AB392" s="98">
        <v>440</v>
      </c>
      <c r="AC392" s="98">
        <v>49</v>
      </c>
      <c r="AD392" s="98">
        <v>451</v>
      </c>
      <c r="AE392" s="98">
        <v>39</v>
      </c>
      <c r="AF392" s="95">
        <v>430</v>
      </c>
      <c r="AG392" s="98">
        <v>33</v>
      </c>
      <c r="AH392" s="96">
        <v>445</v>
      </c>
      <c r="AI392" s="96">
        <v>33</v>
      </c>
      <c r="AJ392" s="95">
        <v>441</v>
      </c>
      <c r="AK392" s="95">
        <v>35</v>
      </c>
      <c r="AL392" s="96">
        <v>419</v>
      </c>
      <c r="AM392" s="96">
        <v>33</v>
      </c>
      <c r="AN392" s="96">
        <v>442</v>
      </c>
      <c r="AO392" s="96">
        <v>45</v>
      </c>
      <c r="AP392" s="96">
        <v>443</v>
      </c>
      <c r="AQ392" s="96">
        <v>47</v>
      </c>
      <c r="AR392" s="96">
        <v>440</v>
      </c>
      <c r="AS392" s="93">
        <v>38</v>
      </c>
      <c r="AT392" s="96">
        <v>438</v>
      </c>
      <c r="AU392" s="96">
        <v>44</v>
      </c>
      <c r="AV392" s="99">
        <v>421</v>
      </c>
      <c r="AW392" s="98">
        <v>49</v>
      </c>
      <c r="AX392" s="98">
        <v>450</v>
      </c>
      <c r="AY392" s="98">
        <v>45</v>
      </c>
      <c r="AZ392" s="98">
        <v>427</v>
      </c>
      <c r="BA392" s="98">
        <v>45</v>
      </c>
      <c r="BB392" s="98">
        <v>422</v>
      </c>
      <c r="BC392" s="98">
        <v>45</v>
      </c>
      <c r="BD392" s="98">
        <v>431</v>
      </c>
      <c r="BE392" s="98">
        <v>37</v>
      </c>
      <c r="BF392" s="98">
        <v>433</v>
      </c>
      <c r="BG392" s="98">
        <v>48</v>
      </c>
      <c r="BI392" s="98">
        <v>447</v>
      </c>
      <c r="BJ392" s="98">
        <v>38</v>
      </c>
      <c r="BK392" s="98">
        <v>448</v>
      </c>
      <c r="BL392" s="98">
        <v>54</v>
      </c>
      <c r="BM392" s="98">
        <v>420</v>
      </c>
      <c r="BN392" s="98">
        <v>54</v>
      </c>
      <c r="BO392" s="99">
        <v>450</v>
      </c>
      <c r="BP392" s="98">
        <v>25</v>
      </c>
      <c r="BQ392" s="99">
        <v>449</v>
      </c>
      <c r="BR392" s="98">
        <v>25</v>
      </c>
      <c r="CD392" s="3"/>
      <c r="CE392" s="3"/>
      <c r="CF392" s="3"/>
    </row>
    <row r="393" spans="1:84" s="98" customFormat="1">
      <c r="A393" s="3" t="s">
        <v>562</v>
      </c>
      <c r="B393" s="3" t="s">
        <v>268</v>
      </c>
      <c r="C393" s="3"/>
      <c r="D393" s="93">
        <v>7.0259999999999998</v>
      </c>
      <c r="E393" s="94">
        <v>0.91210000000000002</v>
      </c>
      <c r="F393" s="94">
        <v>6.1000000000000004E-3</v>
      </c>
      <c r="G393" s="95">
        <v>30.81</v>
      </c>
      <c r="H393" s="96">
        <v>0.77</v>
      </c>
      <c r="I393" s="97">
        <v>0.24532999999999999</v>
      </c>
      <c r="J393" s="95">
        <v>5.3E-3</v>
      </c>
      <c r="K393" s="96">
        <v>0.34794000000000003</v>
      </c>
      <c r="M393" s="99">
        <v>1414.3</v>
      </c>
      <c r="N393" s="98">
        <v>27</v>
      </c>
      <c r="O393" s="99">
        <v>5108.1000000000004</v>
      </c>
      <c r="P393" s="98">
        <v>2.1</v>
      </c>
      <c r="Q393" s="98">
        <v>72.311999999999998</v>
      </c>
      <c r="R393" s="97">
        <v>0.73460000000000003</v>
      </c>
      <c r="T393" s="98">
        <v>400</v>
      </c>
      <c r="U393" s="98">
        <v>290</v>
      </c>
      <c r="V393" s="98">
        <v>450</v>
      </c>
      <c r="W393" s="98">
        <v>50</v>
      </c>
      <c r="X393" s="98">
        <v>505</v>
      </c>
      <c r="Y393" s="98">
        <v>53</v>
      </c>
      <c r="Z393" s="98">
        <v>477</v>
      </c>
      <c r="AA393" s="98">
        <v>49</v>
      </c>
      <c r="AB393" s="98">
        <v>446</v>
      </c>
      <c r="AC393" s="98">
        <v>55</v>
      </c>
      <c r="AD393" s="98">
        <v>476</v>
      </c>
      <c r="AE393" s="98">
        <v>52</v>
      </c>
      <c r="AF393" s="95">
        <v>442</v>
      </c>
      <c r="AG393" s="98">
        <v>43</v>
      </c>
      <c r="AH393" s="96">
        <v>463</v>
      </c>
      <c r="AI393" s="96">
        <v>46</v>
      </c>
      <c r="AJ393" s="95">
        <v>447</v>
      </c>
      <c r="AK393" s="95">
        <v>46</v>
      </c>
      <c r="AL393" s="96">
        <v>424</v>
      </c>
      <c r="AM393" s="96">
        <v>43</v>
      </c>
      <c r="AN393" s="96">
        <v>446</v>
      </c>
      <c r="AO393" s="96">
        <v>49</v>
      </c>
      <c r="AP393" s="96">
        <v>449</v>
      </c>
      <c r="AQ393" s="96">
        <v>50</v>
      </c>
      <c r="AR393" s="96">
        <v>451</v>
      </c>
      <c r="AS393" s="93">
        <v>59</v>
      </c>
      <c r="AT393" s="96">
        <v>441</v>
      </c>
      <c r="AU393" s="96">
        <v>44</v>
      </c>
      <c r="AV393" s="99">
        <v>431</v>
      </c>
      <c r="AW393" s="98">
        <v>56</v>
      </c>
      <c r="AX393" s="98">
        <v>462</v>
      </c>
      <c r="AY393" s="98">
        <v>60</v>
      </c>
      <c r="AZ393" s="98">
        <v>458</v>
      </c>
      <c r="BA393" s="98">
        <v>54</v>
      </c>
      <c r="BB393" s="98">
        <v>440</v>
      </c>
      <c r="BC393" s="98">
        <v>50</v>
      </c>
      <c r="BD393" s="98">
        <v>459</v>
      </c>
      <c r="BE393" s="98">
        <v>56</v>
      </c>
      <c r="BF393" s="98">
        <v>431</v>
      </c>
      <c r="BG393" s="98">
        <v>49</v>
      </c>
      <c r="BI393" s="98">
        <v>461</v>
      </c>
      <c r="BJ393" s="98">
        <v>46</v>
      </c>
      <c r="BK393" s="98">
        <v>445</v>
      </c>
      <c r="BL393" s="98">
        <v>59</v>
      </c>
      <c r="BM393" s="98">
        <v>455</v>
      </c>
      <c r="BN393" s="98">
        <v>63</v>
      </c>
      <c r="BO393" s="99">
        <v>457</v>
      </c>
      <c r="BP393" s="98">
        <v>41</v>
      </c>
      <c r="BQ393" s="99">
        <v>457</v>
      </c>
      <c r="BR393" s="98">
        <v>41</v>
      </c>
      <c r="CD393" s="3"/>
      <c r="CE393" s="3"/>
      <c r="CF393" s="3"/>
    </row>
    <row r="394" spans="1:84" s="98" customFormat="1">
      <c r="A394" s="3" t="s">
        <v>563</v>
      </c>
      <c r="B394" s="3" t="s">
        <v>268</v>
      </c>
      <c r="C394" s="3"/>
      <c r="D394" s="93">
        <v>7.0279999999999996</v>
      </c>
      <c r="E394" s="94">
        <v>0.9113</v>
      </c>
      <c r="F394" s="94">
        <v>6.8999999999999999E-3</v>
      </c>
      <c r="G394" s="95">
        <v>30.49</v>
      </c>
      <c r="H394" s="96">
        <v>0.76</v>
      </c>
      <c r="I394" s="97">
        <v>0.24314</v>
      </c>
      <c r="J394" s="95">
        <v>5.1999999999999998E-3</v>
      </c>
      <c r="K394" s="96">
        <v>0.23561000000000001</v>
      </c>
      <c r="M394" s="99">
        <v>1403</v>
      </c>
      <c r="N394" s="98">
        <v>27</v>
      </c>
      <c r="O394" s="99">
        <v>5107</v>
      </c>
      <c r="P394" s="98">
        <v>2.7</v>
      </c>
      <c r="Q394" s="98">
        <v>72.528000000000006</v>
      </c>
      <c r="R394" s="97">
        <v>0.73409999999999997</v>
      </c>
      <c r="T394" s="98">
        <v>420</v>
      </c>
      <c r="U394" s="98">
        <v>140</v>
      </c>
      <c r="V394" s="98">
        <v>474</v>
      </c>
      <c r="W394" s="98">
        <v>43</v>
      </c>
      <c r="X394" s="98">
        <v>523</v>
      </c>
      <c r="Y394" s="98">
        <v>39</v>
      </c>
      <c r="Z394" s="98">
        <v>474</v>
      </c>
      <c r="AA394" s="98">
        <v>48</v>
      </c>
      <c r="AB394" s="98">
        <v>452</v>
      </c>
      <c r="AC394" s="98">
        <v>54</v>
      </c>
      <c r="AD394" s="98">
        <v>479</v>
      </c>
      <c r="AE394" s="98">
        <v>52</v>
      </c>
      <c r="AF394" s="95">
        <v>452</v>
      </c>
      <c r="AG394" s="98">
        <v>43</v>
      </c>
      <c r="AH394" s="96">
        <v>457</v>
      </c>
      <c r="AI394" s="96">
        <v>51</v>
      </c>
      <c r="AJ394" s="95">
        <v>454</v>
      </c>
      <c r="AK394" s="95">
        <v>45</v>
      </c>
      <c r="AL394" s="96">
        <v>423</v>
      </c>
      <c r="AM394" s="96">
        <v>38</v>
      </c>
      <c r="AN394" s="96">
        <v>468</v>
      </c>
      <c r="AO394" s="96">
        <v>54</v>
      </c>
      <c r="AP394" s="96">
        <v>457</v>
      </c>
      <c r="AQ394" s="96">
        <v>50</v>
      </c>
      <c r="AR394" s="96">
        <v>454</v>
      </c>
      <c r="AS394" s="93">
        <v>52</v>
      </c>
      <c r="AT394" s="96">
        <v>442</v>
      </c>
      <c r="AU394" s="96">
        <v>46</v>
      </c>
      <c r="AV394" s="99">
        <v>447</v>
      </c>
      <c r="AW394" s="98">
        <v>55</v>
      </c>
      <c r="AX394" s="98">
        <v>465</v>
      </c>
      <c r="AY394" s="98">
        <v>53</v>
      </c>
      <c r="AZ394" s="98">
        <v>483</v>
      </c>
      <c r="BA394" s="98">
        <v>66</v>
      </c>
      <c r="BB394" s="98">
        <v>444</v>
      </c>
      <c r="BC394" s="98">
        <v>51</v>
      </c>
      <c r="BD394" s="98">
        <v>461</v>
      </c>
      <c r="BE394" s="98">
        <v>46</v>
      </c>
      <c r="BF394" s="98">
        <v>457</v>
      </c>
      <c r="BG394" s="98">
        <v>55</v>
      </c>
      <c r="BI394" s="98">
        <v>456</v>
      </c>
      <c r="BJ394" s="98">
        <v>57</v>
      </c>
      <c r="BK394" s="98">
        <v>431</v>
      </c>
      <c r="BL394" s="98">
        <v>55</v>
      </c>
      <c r="BM394" s="98">
        <v>426</v>
      </c>
      <c r="BN394" s="98">
        <v>48</v>
      </c>
      <c r="BO394" s="99">
        <v>473</v>
      </c>
      <c r="BP394" s="98">
        <v>37</v>
      </c>
      <c r="BQ394" s="99">
        <v>473</v>
      </c>
      <c r="BR394" s="98">
        <v>38</v>
      </c>
      <c r="CD394" s="3"/>
      <c r="CE394" s="3"/>
      <c r="CF394" s="3"/>
    </row>
    <row r="395" spans="1:84" s="98" customFormat="1">
      <c r="A395" s="3" t="s">
        <v>564</v>
      </c>
      <c r="B395" s="3" t="s">
        <v>268</v>
      </c>
      <c r="C395" s="3"/>
      <c r="D395" s="93">
        <v>7.0129999999999999</v>
      </c>
      <c r="E395" s="94">
        <v>0.91210000000000002</v>
      </c>
      <c r="F395" s="94">
        <v>6.8999999999999999E-3</v>
      </c>
      <c r="G395" s="95">
        <v>30.72</v>
      </c>
      <c r="H395" s="96">
        <v>0.77</v>
      </c>
      <c r="I395" s="97">
        <v>0.24479000000000001</v>
      </c>
      <c r="J395" s="95">
        <v>5.1999999999999998E-3</v>
      </c>
      <c r="K395" s="96">
        <v>0.12547</v>
      </c>
      <c r="M395" s="99">
        <v>1411.5</v>
      </c>
      <c r="N395" s="98">
        <v>27</v>
      </c>
      <c r="O395" s="99">
        <v>5107.3999999999996</v>
      </c>
      <c r="P395" s="98">
        <v>2.4</v>
      </c>
      <c r="Q395" s="98">
        <v>72.363</v>
      </c>
      <c r="R395" s="97">
        <v>0.73399999999999999</v>
      </c>
      <c r="T395" s="98">
        <v>430</v>
      </c>
      <c r="U395" s="98">
        <v>330</v>
      </c>
      <c r="V395" s="98">
        <v>470</v>
      </c>
      <c r="W395" s="98">
        <v>58</v>
      </c>
      <c r="X395" s="98">
        <v>533</v>
      </c>
      <c r="Y395" s="98">
        <v>74</v>
      </c>
      <c r="Z395" s="98">
        <v>490</v>
      </c>
      <c r="AA395" s="98">
        <v>71</v>
      </c>
      <c r="AB395" s="98">
        <v>482</v>
      </c>
      <c r="AC395" s="98">
        <v>80</v>
      </c>
      <c r="AD395" s="98">
        <v>462</v>
      </c>
      <c r="AE395" s="98">
        <v>68</v>
      </c>
      <c r="AF395" s="95">
        <v>469</v>
      </c>
      <c r="AG395" s="98">
        <v>67</v>
      </c>
      <c r="AH395" s="96">
        <v>474</v>
      </c>
      <c r="AI395" s="96">
        <v>81</v>
      </c>
      <c r="AJ395" s="95">
        <v>485</v>
      </c>
      <c r="AK395" s="95">
        <v>74</v>
      </c>
      <c r="AL395" s="96">
        <v>461</v>
      </c>
      <c r="AM395" s="96">
        <v>64</v>
      </c>
      <c r="AN395" s="96">
        <v>492</v>
      </c>
      <c r="AO395" s="96">
        <v>82</v>
      </c>
      <c r="AP395" s="96">
        <v>481</v>
      </c>
      <c r="AQ395" s="96">
        <v>75</v>
      </c>
      <c r="AR395" s="96">
        <v>475</v>
      </c>
      <c r="AS395" s="93">
        <v>87</v>
      </c>
      <c r="AT395" s="96">
        <v>465</v>
      </c>
      <c r="AU395" s="96">
        <v>75</v>
      </c>
      <c r="AV395" s="99">
        <v>475</v>
      </c>
      <c r="AW395" s="98">
        <v>85</v>
      </c>
      <c r="AX395" s="98">
        <v>478</v>
      </c>
      <c r="AY395" s="98">
        <v>75</v>
      </c>
      <c r="AZ395" s="98">
        <v>478</v>
      </c>
      <c r="BA395" s="98">
        <v>76</v>
      </c>
      <c r="BB395" s="98">
        <v>461</v>
      </c>
      <c r="BC395" s="98">
        <v>70</v>
      </c>
      <c r="BD395" s="98">
        <v>468</v>
      </c>
      <c r="BE395" s="98">
        <v>75</v>
      </c>
      <c r="BF395" s="98">
        <v>475</v>
      </c>
      <c r="BG395" s="98">
        <v>86</v>
      </c>
      <c r="BI395" s="98">
        <v>484</v>
      </c>
      <c r="BJ395" s="98">
        <v>56</v>
      </c>
      <c r="BK395" s="98">
        <v>462</v>
      </c>
      <c r="BL395" s="98">
        <v>49</v>
      </c>
      <c r="BM395" s="98">
        <v>468</v>
      </c>
      <c r="BN395" s="98">
        <v>79</v>
      </c>
      <c r="BO395" s="99">
        <v>477</v>
      </c>
      <c r="BP395" s="98">
        <v>66</v>
      </c>
      <c r="BQ395" s="99">
        <v>481</v>
      </c>
      <c r="BR395" s="98">
        <v>67</v>
      </c>
      <c r="CD395" s="3"/>
      <c r="CE395" s="3"/>
      <c r="CF395" s="3"/>
    </row>
    <row r="396" spans="1:84" s="98" customFormat="1">
      <c r="A396" s="3" t="s">
        <v>565</v>
      </c>
      <c r="B396" s="3" t="s">
        <v>268</v>
      </c>
      <c r="C396" s="3"/>
      <c r="D396" s="93">
        <v>7.0119999999999996</v>
      </c>
      <c r="E396" s="94">
        <v>0.91100000000000003</v>
      </c>
      <c r="F396" s="94">
        <v>7.3000000000000001E-3</v>
      </c>
      <c r="G396" s="95">
        <v>30.73</v>
      </c>
      <c r="H396" s="96">
        <v>0.77</v>
      </c>
      <c r="I396" s="97">
        <v>0.24515999999999999</v>
      </c>
      <c r="J396" s="95">
        <v>5.3E-3</v>
      </c>
      <c r="K396" s="96">
        <v>-9.9693000000000004E-2</v>
      </c>
      <c r="M396" s="99">
        <v>1413.4</v>
      </c>
      <c r="N396" s="98">
        <v>27</v>
      </c>
      <c r="O396" s="99">
        <v>5106.1000000000004</v>
      </c>
      <c r="P396" s="98">
        <v>3.3</v>
      </c>
      <c r="Q396" s="98">
        <v>72.317999999999998</v>
      </c>
      <c r="R396" s="97">
        <v>0.73280000000000001</v>
      </c>
      <c r="T396" s="98">
        <v>370</v>
      </c>
      <c r="U396" s="98">
        <v>320</v>
      </c>
      <c r="V396" s="98">
        <v>458</v>
      </c>
      <c r="W396" s="98">
        <v>42</v>
      </c>
      <c r="X396" s="98">
        <v>507</v>
      </c>
      <c r="Y396" s="98">
        <v>67</v>
      </c>
      <c r="Z396" s="98">
        <v>474</v>
      </c>
      <c r="AA396" s="98">
        <v>52</v>
      </c>
      <c r="AB396" s="98">
        <v>449</v>
      </c>
      <c r="AC396" s="98">
        <v>62</v>
      </c>
      <c r="AD396" s="98">
        <v>463</v>
      </c>
      <c r="AE396" s="98">
        <v>57</v>
      </c>
      <c r="AF396" s="95">
        <v>440</v>
      </c>
      <c r="AG396" s="98">
        <v>47</v>
      </c>
      <c r="AH396" s="96">
        <v>446</v>
      </c>
      <c r="AI396" s="96">
        <v>58</v>
      </c>
      <c r="AJ396" s="95">
        <v>431</v>
      </c>
      <c r="AK396" s="95">
        <v>22</v>
      </c>
      <c r="AL396" s="96">
        <v>426</v>
      </c>
      <c r="AM396" s="96">
        <v>50</v>
      </c>
      <c r="AN396" s="96">
        <v>450</v>
      </c>
      <c r="AO396" s="96">
        <v>53</v>
      </c>
      <c r="AP396" s="96">
        <v>455</v>
      </c>
      <c r="AQ396" s="96">
        <v>60</v>
      </c>
      <c r="AR396" s="96">
        <v>464</v>
      </c>
      <c r="AS396" s="93">
        <v>61</v>
      </c>
      <c r="AT396" s="96">
        <v>427</v>
      </c>
      <c r="AU396" s="96">
        <v>47</v>
      </c>
      <c r="AV396" s="99">
        <v>451</v>
      </c>
      <c r="AW396" s="98">
        <v>69</v>
      </c>
      <c r="AX396" s="98">
        <v>447</v>
      </c>
      <c r="AY396" s="98">
        <v>54</v>
      </c>
      <c r="AZ396" s="98">
        <v>449</v>
      </c>
      <c r="BA396" s="98">
        <v>60</v>
      </c>
      <c r="BB396" s="98">
        <v>448</v>
      </c>
      <c r="BC396" s="98">
        <v>60</v>
      </c>
      <c r="BD396" s="98">
        <v>439</v>
      </c>
      <c r="BE396" s="98">
        <v>64</v>
      </c>
      <c r="BF396" s="98">
        <v>437</v>
      </c>
      <c r="BG396" s="98">
        <v>62</v>
      </c>
      <c r="BI396" s="98">
        <v>445</v>
      </c>
      <c r="BJ396" s="98">
        <v>40</v>
      </c>
      <c r="BK396" s="98">
        <v>474</v>
      </c>
      <c r="BL396" s="98">
        <v>84</v>
      </c>
      <c r="BM396" s="98">
        <v>434</v>
      </c>
      <c r="BN396" s="98">
        <v>68</v>
      </c>
      <c r="BO396" s="99">
        <v>443</v>
      </c>
      <c r="BP396" s="98">
        <v>42</v>
      </c>
      <c r="BQ396" s="99">
        <v>447</v>
      </c>
      <c r="BR396" s="98">
        <v>43</v>
      </c>
      <c r="CD396" s="3"/>
      <c r="CE396" s="3"/>
      <c r="CF396" s="3"/>
    </row>
    <row r="397" spans="1:84" s="98" customFormat="1">
      <c r="A397" s="3" t="s">
        <v>566</v>
      </c>
      <c r="B397" s="3" t="s">
        <v>268</v>
      </c>
      <c r="C397" s="3"/>
      <c r="D397" s="93">
        <v>7.0190000000000001</v>
      </c>
      <c r="E397" s="94">
        <v>0.91339999999999999</v>
      </c>
      <c r="F397" s="94">
        <v>6.7999999999999996E-3</v>
      </c>
      <c r="G397" s="95">
        <v>30.55</v>
      </c>
      <c r="H397" s="96">
        <v>0.77</v>
      </c>
      <c r="I397" s="97">
        <v>0.24309</v>
      </c>
      <c r="J397" s="95">
        <v>5.1999999999999998E-3</v>
      </c>
      <c r="K397" s="96">
        <v>0.36281999999999998</v>
      </c>
      <c r="M397" s="99">
        <v>1402.7</v>
      </c>
      <c r="N397" s="98">
        <v>27</v>
      </c>
      <c r="O397" s="99">
        <v>5108.8</v>
      </c>
      <c r="P397" s="98">
        <v>2</v>
      </c>
      <c r="Q397" s="98">
        <v>72.543000000000006</v>
      </c>
      <c r="R397" s="97">
        <v>0.73629999999999995</v>
      </c>
      <c r="T397" s="98">
        <v>420</v>
      </c>
      <c r="U397" s="98">
        <v>210</v>
      </c>
      <c r="V397" s="98">
        <v>447</v>
      </c>
      <c r="W397" s="98">
        <v>33</v>
      </c>
      <c r="X397" s="98">
        <v>526</v>
      </c>
      <c r="Y397" s="98">
        <v>39</v>
      </c>
      <c r="Z397" s="98">
        <v>458</v>
      </c>
      <c r="AA397" s="98">
        <v>27</v>
      </c>
      <c r="AB397" s="98">
        <v>470</v>
      </c>
      <c r="AC397" s="98">
        <v>44</v>
      </c>
      <c r="AD397" s="98">
        <v>453</v>
      </c>
      <c r="AE397" s="98">
        <v>28</v>
      </c>
      <c r="AF397" s="95">
        <v>441</v>
      </c>
      <c r="AG397" s="98">
        <v>15</v>
      </c>
      <c r="AH397" s="96">
        <v>457</v>
      </c>
      <c r="AI397" s="96">
        <v>23</v>
      </c>
      <c r="AJ397" s="95">
        <v>462</v>
      </c>
      <c r="AK397" s="95">
        <v>16</v>
      </c>
      <c r="AL397" s="96">
        <v>439</v>
      </c>
      <c r="AM397" s="96">
        <v>20</v>
      </c>
      <c r="AN397" s="96">
        <v>452</v>
      </c>
      <c r="AO397" s="96">
        <v>16</v>
      </c>
      <c r="AP397" s="96">
        <v>446</v>
      </c>
      <c r="AQ397" s="96">
        <v>23</v>
      </c>
      <c r="AR397" s="96">
        <v>449</v>
      </c>
      <c r="AS397" s="93">
        <v>35</v>
      </c>
      <c r="AT397" s="96">
        <v>444</v>
      </c>
      <c r="AU397" s="96">
        <v>28</v>
      </c>
      <c r="AV397" s="99">
        <v>445</v>
      </c>
      <c r="AW397" s="98">
        <v>23</v>
      </c>
      <c r="AX397" s="98">
        <v>446</v>
      </c>
      <c r="AY397" s="98">
        <v>30</v>
      </c>
      <c r="AZ397" s="98">
        <v>460</v>
      </c>
      <c r="BA397" s="98">
        <v>33</v>
      </c>
      <c r="BB397" s="98">
        <v>433</v>
      </c>
      <c r="BC397" s="98">
        <v>23</v>
      </c>
      <c r="BD397" s="98">
        <v>448</v>
      </c>
      <c r="BE397" s="98">
        <v>31</v>
      </c>
      <c r="BF397" s="98">
        <v>442</v>
      </c>
      <c r="BG397" s="98">
        <v>32</v>
      </c>
      <c r="BI397" s="98">
        <v>460</v>
      </c>
      <c r="BJ397" s="98">
        <v>29</v>
      </c>
      <c r="BK397" s="98">
        <v>461</v>
      </c>
      <c r="BL397" s="98">
        <v>59</v>
      </c>
      <c r="BM397" s="98">
        <v>419</v>
      </c>
      <c r="BN397" s="98">
        <v>32</v>
      </c>
      <c r="BO397" s="99">
        <v>466</v>
      </c>
      <c r="BP397" s="98">
        <v>21</v>
      </c>
      <c r="BQ397" s="99">
        <v>472</v>
      </c>
      <c r="BR397" s="98">
        <v>21</v>
      </c>
      <c r="CD397" s="3"/>
      <c r="CE397" s="3"/>
      <c r="CF397" s="3"/>
    </row>
    <row r="398" spans="1:84" s="98" customFormat="1">
      <c r="A398" s="3" t="s">
        <v>567</v>
      </c>
      <c r="B398" s="3" t="s">
        <v>268</v>
      </c>
      <c r="C398" s="3"/>
      <c r="D398" s="93">
        <v>7.1989999999999998</v>
      </c>
      <c r="E398" s="94">
        <v>0.91279999999999994</v>
      </c>
      <c r="F398" s="94">
        <v>5.7000000000000002E-3</v>
      </c>
      <c r="G398" s="95">
        <v>30.65</v>
      </c>
      <c r="H398" s="96">
        <v>0.76</v>
      </c>
      <c r="I398" s="97">
        <v>0.24396999999999999</v>
      </c>
      <c r="J398" s="95">
        <v>5.3E-3</v>
      </c>
      <c r="K398" s="96">
        <v>0.51375000000000004</v>
      </c>
      <c r="M398" s="99">
        <v>1407.3</v>
      </c>
      <c r="N398" s="98">
        <v>27</v>
      </c>
      <c r="O398" s="99">
        <v>5108.6000000000004</v>
      </c>
      <c r="P398" s="98">
        <v>2</v>
      </c>
      <c r="Q398" s="98">
        <v>72.453000000000003</v>
      </c>
      <c r="R398" s="97">
        <v>0.73570000000000002</v>
      </c>
      <c r="T398" s="98">
        <v>420</v>
      </c>
      <c r="U398" s="98">
        <v>120</v>
      </c>
      <c r="V398" s="98">
        <v>441</v>
      </c>
      <c r="W398" s="98">
        <v>33</v>
      </c>
      <c r="X398" s="98">
        <v>528</v>
      </c>
      <c r="Y398" s="98">
        <v>36</v>
      </c>
      <c r="Z398" s="98">
        <v>472</v>
      </c>
      <c r="AA398" s="98">
        <v>43</v>
      </c>
      <c r="AB398" s="98">
        <v>425</v>
      </c>
      <c r="AC398" s="98">
        <v>44</v>
      </c>
      <c r="AD398" s="98">
        <v>460</v>
      </c>
      <c r="AE398" s="98">
        <v>42</v>
      </c>
      <c r="AF398" s="95">
        <v>444</v>
      </c>
      <c r="AG398" s="98">
        <v>34</v>
      </c>
      <c r="AH398" s="96">
        <v>449</v>
      </c>
      <c r="AI398" s="96">
        <v>33</v>
      </c>
      <c r="AJ398" s="95">
        <v>448</v>
      </c>
      <c r="AK398" s="95">
        <v>36</v>
      </c>
      <c r="AL398" s="96">
        <v>434</v>
      </c>
      <c r="AM398" s="96">
        <v>37</v>
      </c>
      <c r="AN398" s="96">
        <v>470</v>
      </c>
      <c r="AO398" s="96">
        <v>51</v>
      </c>
      <c r="AP398" s="96">
        <v>453</v>
      </c>
      <c r="AQ398" s="96">
        <v>35</v>
      </c>
      <c r="AR398" s="96">
        <v>448</v>
      </c>
      <c r="AS398" s="93">
        <v>35</v>
      </c>
      <c r="AT398" s="96">
        <v>431</v>
      </c>
      <c r="AU398" s="96">
        <v>46</v>
      </c>
      <c r="AV398" s="99">
        <v>455</v>
      </c>
      <c r="AW398" s="98">
        <v>37</v>
      </c>
      <c r="AX398" s="98">
        <v>443</v>
      </c>
      <c r="AY398" s="98">
        <v>42</v>
      </c>
      <c r="AZ398" s="98">
        <v>451</v>
      </c>
      <c r="BA398" s="98">
        <v>43</v>
      </c>
      <c r="BB398" s="98">
        <v>437</v>
      </c>
      <c r="BC398" s="98">
        <v>39</v>
      </c>
      <c r="BD398" s="98">
        <v>447</v>
      </c>
      <c r="BE398" s="98">
        <v>48</v>
      </c>
      <c r="BF398" s="98">
        <v>450</v>
      </c>
      <c r="BG398" s="98">
        <v>43</v>
      </c>
      <c r="BI398" s="98">
        <v>447</v>
      </c>
      <c r="BJ398" s="98">
        <v>37</v>
      </c>
      <c r="BK398" s="98">
        <v>460</v>
      </c>
      <c r="BL398" s="98">
        <v>50</v>
      </c>
      <c r="BM398" s="98">
        <v>436</v>
      </c>
      <c r="BN398" s="98">
        <v>52</v>
      </c>
      <c r="BO398" s="99">
        <v>472</v>
      </c>
      <c r="BP398" s="98">
        <v>41</v>
      </c>
      <c r="BQ398" s="99">
        <v>482</v>
      </c>
      <c r="BR398" s="98">
        <v>42</v>
      </c>
      <c r="CD398" s="3"/>
      <c r="CE398" s="3"/>
      <c r="CF398" s="3"/>
    </row>
    <row r="399" spans="1:84" s="98" customFormat="1">
      <c r="A399" s="3" t="s">
        <v>568</v>
      </c>
      <c r="B399" s="3" t="s">
        <v>268</v>
      </c>
      <c r="C399" s="3"/>
      <c r="D399" s="93">
        <v>7.109</v>
      </c>
      <c r="E399" s="94">
        <v>0.91039999999999999</v>
      </c>
      <c r="F399" s="94">
        <v>6.4999999999999997E-3</v>
      </c>
      <c r="G399" s="95">
        <v>30.65</v>
      </c>
      <c r="H399" s="96">
        <v>0.76</v>
      </c>
      <c r="I399" s="97">
        <v>0.24456</v>
      </c>
      <c r="J399" s="95">
        <v>5.1999999999999998E-3</v>
      </c>
      <c r="K399" s="96">
        <v>8.5031999999999996E-2</v>
      </c>
      <c r="M399" s="99">
        <v>1410.3</v>
      </c>
      <c r="N399" s="98">
        <v>27</v>
      </c>
      <c r="O399" s="99">
        <v>5105.8999999999996</v>
      </c>
      <c r="P399" s="98">
        <v>1.9</v>
      </c>
      <c r="Q399" s="98">
        <v>72.378</v>
      </c>
      <c r="R399" s="97">
        <v>0.73309999999999997</v>
      </c>
      <c r="T399" s="98">
        <v>410</v>
      </c>
      <c r="U399" s="98">
        <v>130</v>
      </c>
      <c r="V399" s="98">
        <v>475</v>
      </c>
      <c r="W399" s="98">
        <v>48</v>
      </c>
      <c r="X399" s="98">
        <v>528</v>
      </c>
      <c r="Y399" s="98">
        <v>46</v>
      </c>
      <c r="Z399" s="98">
        <v>486</v>
      </c>
      <c r="AA399" s="98">
        <v>53</v>
      </c>
      <c r="AB399" s="98">
        <v>465</v>
      </c>
      <c r="AC399" s="98">
        <v>52</v>
      </c>
      <c r="AD399" s="98">
        <v>493</v>
      </c>
      <c r="AE399" s="98">
        <v>42</v>
      </c>
      <c r="AF399" s="95">
        <v>462</v>
      </c>
      <c r="AG399" s="98">
        <v>46</v>
      </c>
      <c r="AH399" s="96">
        <v>497</v>
      </c>
      <c r="AI399" s="96">
        <v>55</v>
      </c>
      <c r="AJ399" s="95">
        <v>476</v>
      </c>
      <c r="AK399" s="95">
        <v>49</v>
      </c>
      <c r="AL399" s="96">
        <v>457</v>
      </c>
      <c r="AM399" s="96">
        <v>39</v>
      </c>
      <c r="AN399" s="96">
        <v>467</v>
      </c>
      <c r="AO399" s="96">
        <v>44</v>
      </c>
      <c r="AP399" s="96">
        <v>476</v>
      </c>
      <c r="AQ399" s="96">
        <v>44</v>
      </c>
      <c r="AR399" s="96">
        <v>465</v>
      </c>
      <c r="AS399" s="93">
        <v>30</v>
      </c>
      <c r="AT399" s="96">
        <v>467</v>
      </c>
      <c r="AU399" s="96">
        <v>40</v>
      </c>
      <c r="AV399" s="99">
        <v>457</v>
      </c>
      <c r="AW399" s="98">
        <v>49</v>
      </c>
      <c r="AX399" s="98">
        <v>467</v>
      </c>
      <c r="AY399" s="98">
        <v>47</v>
      </c>
      <c r="AZ399" s="98">
        <v>479</v>
      </c>
      <c r="BA399" s="98">
        <v>41</v>
      </c>
      <c r="BB399" s="98">
        <v>468</v>
      </c>
      <c r="BC399" s="98">
        <v>39</v>
      </c>
      <c r="BD399" s="98">
        <v>484</v>
      </c>
      <c r="BE399" s="98">
        <v>47</v>
      </c>
      <c r="BF399" s="98">
        <v>464</v>
      </c>
      <c r="BG399" s="98">
        <v>50</v>
      </c>
      <c r="BI399" s="98">
        <v>494</v>
      </c>
      <c r="BJ399" s="98">
        <v>45</v>
      </c>
      <c r="BK399" s="98">
        <v>507</v>
      </c>
      <c r="BL399" s="98">
        <v>80</v>
      </c>
      <c r="BM399" s="98">
        <v>454</v>
      </c>
      <c r="BN399" s="98">
        <v>62</v>
      </c>
      <c r="BO399" s="99">
        <v>471</v>
      </c>
      <c r="BP399" s="98">
        <v>42</v>
      </c>
      <c r="BQ399" s="99">
        <v>482</v>
      </c>
      <c r="BR399" s="98">
        <v>43</v>
      </c>
      <c r="CD399" s="3"/>
      <c r="CE399" s="3"/>
      <c r="CF399" s="3"/>
    </row>
    <row r="400" spans="1:84" s="98" customFormat="1">
      <c r="A400" s="3" t="s">
        <v>569</v>
      </c>
      <c r="B400" s="3" t="s">
        <v>268</v>
      </c>
      <c r="C400" s="3"/>
      <c r="D400" s="93">
        <v>7.024</v>
      </c>
      <c r="E400" s="94">
        <v>0.91339999999999999</v>
      </c>
      <c r="F400" s="94">
        <v>7.4999999999999997E-3</v>
      </c>
      <c r="G400" s="95">
        <v>30.66</v>
      </c>
      <c r="H400" s="96">
        <v>0.78</v>
      </c>
      <c r="I400" s="97">
        <v>0.24388000000000001</v>
      </c>
      <c r="J400" s="95">
        <v>5.1999999999999998E-3</v>
      </c>
      <c r="K400" s="96">
        <v>0.33567999999999998</v>
      </c>
      <c r="M400" s="99">
        <v>1406.8</v>
      </c>
      <c r="N400" s="98">
        <v>27</v>
      </c>
      <c r="O400" s="99">
        <v>5109</v>
      </c>
      <c r="P400" s="98">
        <v>2.2999999999999998</v>
      </c>
      <c r="Q400" s="98">
        <v>72.463999999999999</v>
      </c>
      <c r="R400" s="97">
        <v>0.73640000000000005</v>
      </c>
      <c r="T400" s="98">
        <v>410</v>
      </c>
      <c r="U400" s="98">
        <v>160</v>
      </c>
      <c r="V400" s="98">
        <v>454</v>
      </c>
      <c r="W400" s="98">
        <v>38</v>
      </c>
      <c r="X400" s="98">
        <v>498</v>
      </c>
      <c r="Y400" s="98">
        <v>51</v>
      </c>
      <c r="Z400" s="98">
        <v>461</v>
      </c>
      <c r="AA400" s="98">
        <v>39</v>
      </c>
      <c r="AB400" s="98">
        <v>474</v>
      </c>
      <c r="AC400" s="98">
        <v>53</v>
      </c>
      <c r="AD400" s="98">
        <v>452</v>
      </c>
      <c r="AE400" s="98">
        <v>40</v>
      </c>
      <c r="AF400" s="95">
        <v>435</v>
      </c>
      <c r="AG400" s="98">
        <v>36</v>
      </c>
      <c r="AH400" s="96">
        <v>445</v>
      </c>
      <c r="AI400" s="96">
        <v>40</v>
      </c>
      <c r="AJ400" s="95">
        <v>447</v>
      </c>
      <c r="AK400" s="95">
        <v>37</v>
      </c>
      <c r="AL400" s="96">
        <v>426</v>
      </c>
      <c r="AM400" s="96">
        <v>33</v>
      </c>
      <c r="AN400" s="96">
        <v>444</v>
      </c>
      <c r="AO400" s="96">
        <v>34</v>
      </c>
      <c r="AP400" s="96">
        <v>445</v>
      </c>
      <c r="AQ400" s="96">
        <v>38</v>
      </c>
      <c r="AR400" s="96">
        <v>447</v>
      </c>
      <c r="AS400" s="93">
        <v>42</v>
      </c>
      <c r="AT400" s="96">
        <v>432</v>
      </c>
      <c r="AU400" s="96">
        <v>35</v>
      </c>
      <c r="AV400" s="99">
        <v>430</v>
      </c>
      <c r="AW400" s="98">
        <v>45</v>
      </c>
      <c r="AX400" s="98">
        <v>446</v>
      </c>
      <c r="AY400" s="98">
        <v>41</v>
      </c>
      <c r="AZ400" s="98">
        <v>456</v>
      </c>
      <c r="BA400" s="98">
        <v>41</v>
      </c>
      <c r="BB400" s="98">
        <v>432</v>
      </c>
      <c r="BC400" s="98">
        <v>49</v>
      </c>
      <c r="BD400" s="98">
        <v>456</v>
      </c>
      <c r="BE400" s="98">
        <v>35</v>
      </c>
      <c r="BF400" s="98">
        <v>422</v>
      </c>
      <c r="BG400" s="98">
        <v>34</v>
      </c>
      <c r="BI400" s="98">
        <v>458</v>
      </c>
      <c r="BJ400" s="98">
        <v>37</v>
      </c>
      <c r="BK400" s="98">
        <v>443</v>
      </c>
      <c r="BL400" s="98">
        <v>73</v>
      </c>
      <c r="BM400" s="98">
        <v>437</v>
      </c>
      <c r="BN400" s="98">
        <v>52</v>
      </c>
      <c r="BO400" s="99">
        <v>442</v>
      </c>
      <c r="BP400" s="98">
        <v>32</v>
      </c>
      <c r="BQ400" s="99">
        <v>454</v>
      </c>
      <c r="BR400" s="98">
        <v>33</v>
      </c>
      <c r="CD400" s="3"/>
      <c r="CE400" s="3"/>
      <c r="CF400" s="3"/>
    </row>
    <row r="401" spans="1:84" s="98" customFormat="1">
      <c r="A401" s="3" t="s">
        <v>570</v>
      </c>
      <c r="B401" s="3" t="s">
        <v>268</v>
      </c>
      <c r="C401" s="3"/>
      <c r="D401" s="93">
        <v>7.0229999999999997</v>
      </c>
      <c r="E401" s="94">
        <v>0.91290000000000004</v>
      </c>
      <c r="F401" s="94">
        <v>5.8999999999999999E-3</v>
      </c>
      <c r="G401" s="95">
        <v>30.73</v>
      </c>
      <c r="H401" s="96">
        <v>0.76</v>
      </c>
      <c r="I401" s="97">
        <v>0.24459</v>
      </c>
      <c r="J401" s="95">
        <v>5.3E-3</v>
      </c>
      <c r="K401" s="96">
        <v>0.47926999999999997</v>
      </c>
      <c r="M401" s="99">
        <v>1410.5</v>
      </c>
      <c r="N401" s="98">
        <v>27</v>
      </c>
      <c r="O401" s="99">
        <v>5107.8999999999996</v>
      </c>
      <c r="P401" s="98">
        <v>1.6</v>
      </c>
      <c r="Q401" s="98">
        <v>72.385000000000005</v>
      </c>
      <c r="R401" s="97">
        <v>0.73529999999999995</v>
      </c>
      <c r="T401" s="98">
        <v>410</v>
      </c>
      <c r="U401" s="98">
        <v>160</v>
      </c>
      <c r="V401" s="98">
        <v>479</v>
      </c>
      <c r="W401" s="98">
        <v>45</v>
      </c>
      <c r="X401" s="98">
        <v>522</v>
      </c>
      <c r="Y401" s="98">
        <v>41</v>
      </c>
      <c r="Z401" s="98">
        <v>477</v>
      </c>
      <c r="AA401" s="98">
        <v>39</v>
      </c>
      <c r="AB401" s="98">
        <v>450</v>
      </c>
      <c r="AC401" s="98">
        <v>52</v>
      </c>
      <c r="AD401" s="98">
        <v>467</v>
      </c>
      <c r="AE401" s="98">
        <v>42</v>
      </c>
      <c r="AF401" s="95">
        <v>452</v>
      </c>
      <c r="AG401" s="98">
        <v>35</v>
      </c>
      <c r="AH401" s="96">
        <v>481</v>
      </c>
      <c r="AI401" s="96">
        <v>37</v>
      </c>
      <c r="AJ401" s="95">
        <v>455</v>
      </c>
      <c r="AK401" s="95">
        <v>34</v>
      </c>
      <c r="AL401" s="96">
        <v>436</v>
      </c>
      <c r="AM401" s="96">
        <v>29</v>
      </c>
      <c r="AN401" s="96">
        <v>476</v>
      </c>
      <c r="AO401" s="96">
        <v>38</v>
      </c>
      <c r="AP401" s="96">
        <v>459</v>
      </c>
      <c r="AQ401" s="96">
        <v>33</v>
      </c>
      <c r="AR401" s="96">
        <v>451</v>
      </c>
      <c r="AS401" s="93">
        <v>43</v>
      </c>
      <c r="AT401" s="96">
        <v>446</v>
      </c>
      <c r="AU401" s="96">
        <v>46</v>
      </c>
      <c r="AV401" s="99">
        <v>428</v>
      </c>
      <c r="AW401" s="98">
        <v>33</v>
      </c>
      <c r="AX401" s="98">
        <v>460</v>
      </c>
      <c r="AY401" s="98">
        <v>36</v>
      </c>
      <c r="AZ401" s="98">
        <v>464</v>
      </c>
      <c r="BA401" s="98">
        <v>40</v>
      </c>
      <c r="BB401" s="98">
        <v>438</v>
      </c>
      <c r="BC401" s="98">
        <v>36</v>
      </c>
      <c r="BD401" s="98">
        <v>452</v>
      </c>
      <c r="BE401" s="98">
        <v>45</v>
      </c>
      <c r="BF401" s="98">
        <v>438</v>
      </c>
      <c r="BG401" s="98">
        <v>38</v>
      </c>
      <c r="BI401" s="98">
        <v>466</v>
      </c>
      <c r="BJ401" s="98">
        <v>33</v>
      </c>
      <c r="BK401" s="98">
        <v>448</v>
      </c>
      <c r="BL401" s="98">
        <v>50</v>
      </c>
      <c r="BM401" s="98">
        <v>443</v>
      </c>
      <c r="BN401" s="98">
        <v>53</v>
      </c>
      <c r="BO401" s="99">
        <v>463</v>
      </c>
      <c r="BP401" s="98">
        <v>34</v>
      </c>
      <c r="BQ401" s="99">
        <v>473</v>
      </c>
      <c r="BR401" s="98">
        <v>35</v>
      </c>
      <c r="CD401" s="3"/>
      <c r="CE401" s="3"/>
      <c r="CF401" s="3"/>
    </row>
    <row r="402" spans="1:84" s="98" customFormat="1">
      <c r="A402" s="3" t="s">
        <v>571</v>
      </c>
      <c r="B402" s="3" t="s">
        <v>268</v>
      </c>
      <c r="C402" s="3"/>
      <c r="D402" s="93">
        <v>7.1349999999999998</v>
      </c>
      <c r="E402" s="94">
        <v>0.91169999999999995</v>
      </c>
      <c r="F402" s="94">
        <v>6.3E-3</v>
      </c>
      <c r="G402" s="95">
        <v>30.69</v>
      </c>
      <c r="H402" s="96">
        <v>0.76</v>
      </c>
      <c r="I402" s="97">
        <v>0.24468000000000001</v>
      </c>
      <c r="J402" s="95">
        <v>5.1999999999999998E-3</v>
      </c>
      <c r="K402" s="96">
        <v>0.32595000000000002</v>
      </c>
      <c r="M402" s="99">
        <v>1411</v>
      </c>
      <c r="N402" s="98">
        <v>27</v>
      </c>
      <c r="O402" s="99">
        <v>5106.7</v>
      </c>
      <c r="P402" s="98">
        <v>2.1</v>
      </c>
      <c r="Q402" s="98">
        <v>72.370999999999995</v>
      </c>
      <c r="R402" s="97">
        <v>0.73360000000000003</v>
      </c>
      <c r="T402" s="98">
        <v>420</v>
      </c>
      <c r="U402" s="98">
        <v>240</v>
      </c>
      <c r="V402" s="98">
        <v>455</v>
      </c>
      <c r="W402" s="98">
        <v>52</v>
      </c>
      <c r="X402" s="98">
        <v>521</v>
      </c>
      <c r="Y402" s="98">
        <v>55</v>
      </c>
      <c r="Z402" s="98">
        <v>467</v>
      </c>
      <c r="AA402" s="98">
        <v>55</v>
      </c>
      <c r="AB402" s="98">
        <v>434</v>
      </c>
      <c r="AC402" s="98">
        <v>45</v>
      </c>
      <c r="AD402" s="98">
        <v>467</v>
      </c>
      <c r="AE402" s="98">
        <v>52</v>
      </c>
      <c r="AF402" s="95">
        <v>441</v>
      </c>
      <c r="AG402" s="98">
        <v>45</v>
      </c>
      <c r="AH402" s="96">
        <v>459</v>
      </c>
      <c r="AI402" s="96">
        <v>55</v>
      </c>
      <c r="AJ402" s="95">
        <v>457</v>
      </c>
      <c r="AK402" s="95">
        <v>43</v>
      </c>
      <c r="AL402" s="96">
        <v>432</v>
      </c>
      <c r="AM402" s="96">
        <v>37</v>
      </c>
      <c r="AN402" s="96">
        <v>452</v>
      </c>
      <c r="AO402" s="96">
        <v>47</v>
      </c>
      <c r="AP402" s="96">
        <v>444</v>
      </c>
      <c r="AQ402" s="96">
        <v>42</v>
      </c>
      <c r="AR402" s="96">
        <v>463</v>
      </c>
      <c r="AS402" s="93">
        <v>37</v>
      </c>
      <c r="AT402" s="96">
        <v>435</v>
      </c>
      <c r="AU402" s="96">
        <v>39</v>
      </c>
      <c r="AV402" s="99">
        <v>438</v>
      </c>
      <c r="AW402" s="98">
        <v>45</v>
      </c>
      <c r="AX402" s="98">
        <v>455</v>
      </c>
      <c r="AY402" s="98">
        <v>41</v>
      </c>
      <c r="AZ402" s="98">
        <v>444</v>
      </c>
      <c r="BA402" s="98">
        <v>47</v>
      </c>
      <c r="BB402" s="98">
        <v>428</v>
      </c>
      <c r="BC402" s="98">
        <v>37</v>
      </c>
      <c r="BD402" s="98">
        <v>468</v>
      </c>
      <c r="BE402" s="98">
        <v>49</v>
      </c>
      <c r="BF402" s="98">
        <v>423</v>
      </c>
      <c r="BG402" s="98">
        <v>49</v>
      </c>
      <c r="BI402" s="98">
        <v>462</v>
      </c>
      <c r="BJ402" s="98">
        <v>49</v>
      </c>
      <c r="BK402" s="98">
        <v>433</v>
      </c>
      <c r="BL402" s="98">
        <v>63</v>
      </c>
      <c r="BM402" s="98">
        <v>449</v>
      </c>
      <c r="BN402" s="98">
        <v>51</v>
      </c>
      <c r="BO402" s="99">
        <v>458</v>
      </c>
      <c r="BP402" s="98">
        <v>46</v>
      </c>
      <c r="BQ402" s="99">
        <v>468</v>
      </c>
      <c r="BR402" s="98">
        <v>47</v>
      </c>
      <c r="CD402" s="3"/>
      <c r="CE402" s="3"/>
      <c r="CF402" s="3"/>
    </row>
    <row r="403" spans="1:84" s="98" customFormat="1">
      <c r="A403" s="3" t="s">
        <v>572</v>
      </c>
      <c r="B403" s="3" t="s">
        <v>268</v>
      </c>
      <c r="C403" s="3"/>
      <c r="D403" s="93">
        <v>7.0129999999999999</v>
      </c>
      <c r="E403" s="94">
        <v>0.90700000000000003</v>
      </c>
      <c r="F403" s="94">
        <v>9.5999999999999992E-3</v>
      </c>
      <c r="G403" s="95">
        <v>29.17</v>
      </c>
      <c r="H403" s="96">
        <v>0.83</v>
      </c>
      <c r="I403" s="97">
        <v>0.2321</v>
      </c>
      <c r="J403" s="95">
        <v>5.3E-3</v>
      </c>
      <c r="K403" s="96">
        <v>0.36384</v>
      </c>
      <c r="M403" s="99">
        <v>1345.6</v>
      </c>
      <c r="N403" s="98">
        <v>28</v>
      </c>
      <c r="O403" s="99">
        <v>5097</v>
      </c>
      <c r="P403" s="98">
        <v>15</v>
      </c>
      <c r="Q403" s="98">
        <v>73.56</v>
      </c>
      <c r="R403" s="97">
        <v>0.73980000000000001</v>
      </c>
      <c r="T403" s="98">
        <v>420</v>
      </c>
      <c r="U403" s="98">
        <v>170</v>
      </c>
      <c r="V403" s="98">
        <v>445</v>
      </c>
      <c r="W403" s="98">
        <v>38</v>
      </c>
      <c r="X403" s="98">
        <v>515</v>
      </c>
      <c r="Y403" s="98">
        <v>42</v>
      </c>
      <c r="Z403" s="98">
        <v>450</v>
      </c>
      <c r="AA403" s="98">
        <v>46</v>
      </c>
      <c r="AB403" s="98">
        <v>435</v>
      </c>
      <c r="AC403" s="98">
        <v>35</v>
      </c>
      <c r="AD403" s="98">
        <v>460</v>
      </c>
      <c r="AE403" s="98">
        <v>37</v>
      </c>
      <c r="AF403" s="95">
        <v>435</v>
      </c>
      <c r="AG403" s="98">
        <v>24</v>
      </c>
      <c r="AH403" s="96">
        <v>445</v>
      </c>
      <c r="AI403" s="96">
        <v>30</v>
      </c>
      <c r="AJ403" s="95">
        <v>445</v>
      </c>
      <c r="AK403" s="95">
        <v>23</v>
      </c>
      <c r="AL403" s="96">
        <v>425</v>
      </c>
      <c r="AM403" s="96">
        <v>30</v>
      </c>
      <c r="AN403" s="96">
        <v>450</v>
      </c>
      <c r="AO403" s="96">
        <v>31</v>
      </c>
      <c r="AP403" s="96">
        <v>439</v>
      </c>
      <c r="AQ403" s="96">
        <v>33</v>
      </c>
      <c r="AR403" s="96">
        <v>458</v>
      </c>
      <c r="AS403" s="93">
        <v>35</v>
      </c>
      <c r="AT403" s="96">
        <v>441</v>
      </c>
      <c r="AU403" s="96">
        <v>27</v>
      </c>
      <c r="AV403" s="99">
        <v>437</v>
      </c>
      <c r="AW403" s="98">
        <v>28</v>
      </c>
      <c r="AX403" s="98">
        <v>448</v>
      </c>
      <c r="AY403" s="98">
        <v>28</v>
      </c>
      <c r="AZ403" s="98">
        <v>468</v>
      </c>
      <c r="BA403" s="98">
        <v>44</v>
      </c>
      <c r="BB403" s="98">
        <v>444</v>
      </c>
      <c r="BC403" s="98">
        <v>33</v>
      </c>
      <c r="BD403" s="98">
        <v>459</v>
      </c>
      <c r="BE403" s="98">
        <v>33</v>
      </c>
      <c r="BF403" s="98">
        <v>437</v>
      </c>
      <c r="BG403" s="98">
        <v>35</v>
      </c>
      <c r="BI403" s="98">
        <v>460</v>
      </c>
      <c r="BJ403" s="98">
        <v>39</v>
      </c>
      <c r="BK403" s="98">
        <v>404</v>
      </c>
      <c r="BL403" s="98">
        <v>36</v>
      </c>
      <c r="BM403" s="98">
        <v>437</v>
      </c>
      <c r="BN403" s="98">
        <v>35</v>
      </c>
      <c r="BO403" s="99">
        <v>456</v>
      </c>
      <c r="BP403" s="98">
        <v>28</v>
      </c>
      <c r="BQ403" s="99">
        <v>459</v>
      </c>
      <c r="BR403" s="98">
        <v>28</v>
      </c>
      <c r="CD403" s="3"/>
      <c r="CE403" s="3"/>
      <c r="CF403" s="3"/>
    </row>
    <row r="404" spans="1:84" s="98" customFormat="1">
      <c r="A404" s="3" t="s">
        <v>573</v>
      </c>
      <c r="B404" s="3" t="s">
        <v>268</v>
      </c>
      <c r="C404" s="3"/>
      <c r="D404" s="93">
        <v>7.0090000000000003</v>
      </c>
      <c r="E404" s="94">
        <v>0.91210000000000002</v>
      </c>
      <c r="F404" s="94">
        <v>6.4999999999999997E-3</v>
      </c>
      <c r="G404" s="95">
        <v>30.58</v>
      </c>
      <c r="H404" s="96">
        <v>0.76</v>
      </c>
      <c r="I404" s="97">
        <v>0.2437</v>
      </c>
      <c r="J404" s="95">
        <v>5.1999999999999998E-3</v>
      </c>
      <c r="K404" s="96">
        <v>0.24790000000000001</v>
      </c>
      <c r="M404" s="99">
        <v>1405.9</v>
      </c>
      <c r="N404" s="98">
        <v>27</v>
      </c>
      <c r="O404" s="99">
        <v>5108.1000000000004</v>
      </c>
      <c r="P404" s="98">
        <v>2.2999999999999998</v>
      </c>
      <c r="Q404" s="98">
        <v>72.477999999999994</v>
      </c>
      <c r="R404" s="97">
        <v>0.73460000000000003</v>
      </c>
      <c r="T404" s="98">
        <v>410</v>
      </c>
      <c r="U404" s="98">
        <v>130</v>
      </c>
      <c r="V404" s="98">
        <v>441</v>
      </c>
      <c r="W404" s="98">
        <v>48</v>
      </c>
      <c r="X404" s="98">
        <v>483</v>
      </c>
      <c r="Y404" s="98">
        <v>36</v>
      </c>
      <c r="Z404" s="98">
        <v>450</v>
      </c>
      <c r="AA404" s="98">
        <v>40</v>
      </c>
      <c r="AB404" s="98">
        <v>437</v>
      </c>
      <c r="AC404" s="98">
        <v>37</v>
      </c>
      <c r="AD404" s="98">
        <v>436</v>
      </c>
      <c r="AE404" s="98">
        <v>41</v>
      </c>
      <c r="AF404" s="95">
        <v>428</v>
      </c>
      <c r="AG404" s="98">
        <v>27</v>
      </c>
      <c r="AH404" s="96">
        <v>441</v>
      </c>
      <c r="AI404" s="96">
        <v>44</v>
      </c>
      <c r="AJ404" s="95">
        <v>425</v>
      </c>
      <c r="AK404" s="95">
        <v>32</v>
      </c>
      <c r="AL404" s="96">
        <v>419</v>
      </c>
      <c r="AM404" s="96">
        <v>28</v>
      </c>
      <c r="AN404" s="96">
        <v>433</v>
      </c>
      <c r="AO404" s="96">
        <v>31</v>
      </c>
      <c r="AP404" s="96">
        <v>420</v>
      </c>
      <c r="AQ404" s="96">
        <v>29</v>
      </c>
      <c r="AR404" s="96">
        <v>449</v>
      </c>
      <c r="AS404" s="93">
        <v>45</v>
      </c>
      <c r="AT404" s="96">
        <v>426</v>
      </c>
      <c r="AU404" s="96">
        <v>35</v>
      </c>
      <c r="AV404" s="99">
        <v>433</v>
      </c>
      <c r="AW404" s="98">
        <v>37</v>
      </c>
      <c r="AX404" s="98">
        <v>445</v>
      </c>
      <c r="AY404" s="98">
        <v>35</v>
      </c>
      <c r="AZ404" s="98">
        <v>447</v>
      </c>
      <c r="BA404" s="98">
        <v>36</v>
      </c>
      <c r="BB404" s="98">
        <v>422</v>
      </c>
      <c r="BC404" s="98">
        <v>28</v>
      </c>
      <c r="BD404" s="98">
        <v>413</v>
      </c>
      <c r="BE404" s="98">
        <v>34</v>
      </c>
      <c r="BF404" s="98">
        <v>434</v>
      </c>
      <c r="BG404" s="98">
        <v>41</v>
      </c>
      <c r="BI404" s="98">
        <v>435</v>
      </c>
      <c r="BJ404" s="98">
        <v>33</v>
      </c>
      <c r="BK404" s="98">
        <v>485</v>
      </c>
      <c r="BL404" s="98">
        <v>65</v>
      </c>
      <c r="BM404" s="98">
        <v>446</v>
      </c>
      <c r="BN404" s="98">
        <v>33</v>
      </c>
      <c r="BO404" s="99">
        <v>445</v>
      </c>
      <c r="BP404" s="98">
        <v>30</v>
      </c>
      <c r="BQ404" s="99">
        <v>450</v>
      </c>
      <c r="BR404" s="98">
        <v>30</v>
      </c>
      <c r="CD404" s="3"/>
      <c r="CE404" s="3"/>
      <c r="CF404" s="3"/>
    </row>
    <row r="405" spans="1:84" s="98" customFormat="1">
      <c r="A405" s="3" t="s">
        <v>574</v>
      </c>
      <c r="B405" s="3" t="s">
        <v>268</v>
      </c>
      <c r="C405" s="3"/>
      <c r="D405" s="93">
        <v>7.0119999999999996</v>
      </c>
      <c r="E405" s="94">
        <v>0.91220000000000001</v>
      </c>
      <c r="F405" s="94">
        <v>5.5999999999999999E-3</v>
      </c>
      <c r="G405" s="95">
        <v>30.59</v>
      </c>
      <c r="H405" s="96">
        <v>0.76</v>
      </c>
      <c r="I405" s="97">
        <v>0.24414</v>
      </c>
      <c r="J405" s="95">
        <v>5.1999999999999998E-3</v>
      </c>
      <c r="K405" s="96">
        <v>0.56903999999999999</v>
      </c>
      <c r="M405" s="99">
        <v>1408.2</v>
      </c>
      <c r="N405" s="98">
        <v>27</v>
      </c>
      <c r="O405" s="99">
        <v>5106.8</v>
      </c>
      <c r="P405" s="98">
        <v>2.5</v>
      </c>
      <c r="Q405" s="98">
        <v>72.424999999999997</v>
      </c>
      <c r="R405" s="97">
        <v>0.73460000000000003</v>
      </c>
      <c r="T405" s="98">
        <v>420</v>
      </c>
      <c r="U405" s="98">
        <v>120</v>
      </c>
      <c r="V405" s="98">
        <v>470</v>
      </c>
      <c r="W405" s="98">
        <v>44</v>
      </c>
      <c r="X405" s="98">
        <v>568</v>
      </c>
      <c r="Y405" s="98">
        <v>56</v>
      </c>
      <c r="Z405" s="98">
        <v>492</v>
      </c>
      <c r="AA405" s="98">
        <v>45</v>
      </c>
      <c r="AB405" s="98">
        <v>498</v>
      </c>
      <c r="AC405" s="98">
        <v>49</v>
      </c>
      <c r="AD405" s="98">
        <v>474</v>
      </c>
      <c r="AE405" s="98">
        <v>49</v>
      </c>
      <c r="AF405" s="95">
        <v>467</v>
      </c>
      <c r="AG405" s="98">
        <v>38</v>
      </c>
      <c r="AH405" s="96">
        <v>475</v>
      </c>
      <c r="AI405" s="96">
        <v>48</v>
      </c>
      <c r="AJ405" s="95">
        <v>472</v>
      </c>
      <c r="AK405" s="95">
        <v>39</v>
      </c>
      <c r="AL405" s="96">
        <v>452</v>
      </c>
      <c r="AM405" s="96">
        <v>42</v>
      </c>
      <c r="AN405" s="96">
        <v>488</v>
      </c>
      <c r="AO405" s="96">
        <v>35</v>
      </c>
      <c r="AP405" s="96">
        <v>472</v>
      </c>
      <c r="AQ405" s="96">
        <v>38</v>
      </c>
      <c r="AR405" s="96">
        <v>474</v>
      </c>
      <c r="AS405" s="93">
        <v>47</v>
      </c>
      <c r="AT405" s="96">
        <v>463</v>
      </c>
      <c r="AU405" s="96">
        <v>40</v>
      </c>
      <c r="AV405" s="99">
        <v>446</v>
      </c>
      <c r="AW405" s="98">
        <v>30</v>
      </c>
      <c r="AX405" s="98">
        <v>489</v>
      </c>
      <c r="AY405" s="98">
        <v>43</v>
      </c>
      <c r="AZ405" s="98">
        <v>479</v>
      </c>
      <c r="BA405" s="98">
        <v>35</v>
      </c>
      <c r="BB405" s="98">
        <v>471</v>
      </c>
      <c r="BC405" s="98">
        <v>37</v>
      </c>
      <c r="BD405" s="98">
        <v>498</v>
      </c>
      <c r="BE405" s="98">
        <v>49</v>
      </c>
      <c r="BF405" s="98">
        <v>472</v>
      </c>
      <c r="BG405" s="98">
        <v>35</v>
      </c>
      <c r="BI405" s="98">
        <v>487</v>
      </c>
      <c r="BJ405" s="98">
        <v>37</v>
      </c>
      <c r="BK405" s="98">
        <v>505</v>
      </c>
      <c r="BL405" s="98">
        <v>76</v>
      </c>
      <c r="BM405" s="98">
        <v>459</v>
      </c>
      <c r="BN405" s="98">
        <v>39</v>
      </c>
      <c r="BO405" s="99">
        <v>488</v>
      </c>
      <c r="BP405" s="98">
        <v>38</v>
      </c>
      <c r="BQ405" s="99">
        <v>497</v>
      </c>
      <c r="BR405" s="98">
        <v>42</v>
      </c>
      <c r="CD405" s="3"/>
      <c r="CE405" s="3"/>
      <c r="CF405" s="3"/>
    </row>
    <row r="406" spans="1:84" s="98" customFormat="1">
      <c r="A406" s="3" t="s">
        <v>575</v>
      </c>
      <c r="B406" s="3" t="s">
        <v>268</v>
      </c>
      <c r="C406" s="3"/>
      <c r="D406" s="93">
        <v>7.0069999999999997</v>
      </c>
      <c r="E406" s="94">
        <v>0.91300000000000003</v>
      </c>
      <c r="F406" s="94">
        <v>7.3000000000000001E-3</v>
      </c>
      <c r="G406" s="95">
        <v>30.69</v>
      </c>
      <c r="H406" s="96">
        <v>0.77</v>
      </c>
      <c r="I406" s="97">
        <v>0.24443000000000001</v>
      </c>
      <c r="J406" s="95">
        <v>5.3E-3</v>
      </c>
      <c r="K406" s="96">
        <v>0.31208999999999998</v>
      </c>
      <c r="M406" s="99">
        <v>1409.7</v>
      </c>
      <c r="N406" s="98">
        <v>27</v>
      </c>
      <c r="O406" s="99">
        <v>5108.1000000000004</v>
      </c>
      <c r="P406" s="98">
        <v>2.2999999999999998</v>
      </c>
      <c r="Q406" s="98">
        <v>72.403000000000006</v>
      </c>
      <c r="R406" s="97">
        <v>0.7349</v>
      </c>
      <c r="T406" s="98">
        <v>400</v>
      </c>
      <c r="U406" s="98">
        <v>170</v>
      </c>
      <c r="V406" s="98">
        <v>440</v>
      </c>
      <c r="W406" s="98">
        <v>39</v>
      </c>
      <c r="X406" s="98">
        <v>519</v>
      </c>
      <c r="Y406" s="98">
        <v>39</v>
      </c>
      <c r="Z406" s="98">
        <v>454</v>
      </c>
      <c r="AA406" s="98">
        <v>35</v>
      </c>
      <c r="AB406" s="98">
        <v>436</v>
      </c>
      <c r="AC406" s="98">
        <v>37</v>
      </c>
      <c r="AD406" s="98">
        <v>462</v>
      </c>
      <c r="AE406" s="98">
        <v>44</v>
      </c>
      <c r="AF406" s="95">
        <v>426</v>
      </c>
      <c r="AG406" s="98">
        <v>27</v>
      </c>
      <c r="AH406" s="96">
        <v>443</v>
      </c>
      <c r="AI406" s="96">
        <v>31</v>
      </c>
      <c r="AJ406" s="95">
        <v>428</v>
      </c>
      <c r="AK406" s="95">
        <v>29</v>
      </c>
      <c r="AL406" s="96">
        <v>405</v>
      </c>
      <c r="AM406" s="96">
        <v>31</v>
      </c>
      <c r="AN406" s="96">
        <v>437</v>
      </c>
      <c r="AO406" s="96">
        <v>30</v>
      </c>
      <c r="AP406" s="96">
        <v>439</v>
      </c>
      <c r="AQ406" s="96">
        <v>26</v>
      </c>
      <c r="AR406" s="96">
        <v>417</v>
      </c>
      <c r="AS406" s="93">
        <v>41</v>
      </c>
      <c r="AT406" s="96">
        <v>434</v>
      </c>
      <c r="AU406" s="96">
        <v>33</v>
      </c>
      <c r="AV406" s="99">
        <v>416</v>
      </c>
      <c r="AW406" s="98">
        <v>26</v>
      </c>
      <c r="AX406" s="98">
        <v>425</v>
      </c>
      <c r="AY406" s="98">
        <v>34</v>
      </c>
      <c r="AZ406" s="98">
        <v>434</v>
      </c>
      <c r="BA406" s="98">
        <v>32</v>
      </c>
      <c r="BB406" s="98">
        <v>419</v>
      </c>
      <c r="BC406" s="98">
        <v>22</v>
      </c>
      <c r="BD406" s="98">
        <v>452</v>
      </c>
      <c r="BE406" s="98">
        <v>28</v>
      </c>
      <c r="BF406" s="98">
        <v>435</v>
      </c>
      <c r="BG406" s="98">
        <v>28</v>
      </c>
      <c r="BI406" s="98">
        <v>444</v>
      </c>
      <c r="BJ406" s="98">
        <v>36</v>
      </c>
      <c r="BK406" s="98">
        <v>422</v>
      </c>
      <c r="BL406" s="98">
        <v>53</v>
      </c>
      <c r="BM406" s="98">
        <v>427</v>
      </c>
      <c r="BN406" s="98">
        <v>33</v>
      </c>
      <c r="BO406" s="99">
        <v>450</v>
      </c>
      <c r="BP406" s="98">
        <v>28</v>
      </c>
      <c r="BQ406" s="99">
        <v>455</v>
      </c>
      <c r="BR406" s="98">
        <v>29</v>
      </c>
      <c r="CD406" s="3"/>
      <c r="CE406" s="3"/>
      <c r="CF406" s="3"/>
    </row>
    <row r="407" spans="1:84" s="98" customFormat="1">
      <c r="A407" s="3" t="s">
        <v>576</v>
      </c>
      <c r="B407" s="3" t="s">
        <v>268</v>
      </c>
      <c r="C407" s="3"/>
      <c r="D407" s="93">
        <v>7.1189999999999998</v>
      </c>
      <c r="E407" s="94">
        <v>0.91269999999999996</v>
      </c>
      <c r="F407" s="94">
        <v>7.7000000000000002E-3</v>
      </c>
      <c r="G407" s="95">
        <v>30.78</v>
      </c>
      <c r="H407" s="96">
        <v>0.78</v>
      </c>
      <c r="I407" s="97">
        <v>0.24526000000000001</v>
      </c>
      <c r="J407" s="95">
        <v>5.3E-3</v>
      </c>
      <c r="K407" s="96">
        <v>0.31929000000000002</v>
      </c>
      <c r="M407" s="99">
        <v>1414</v>
      </c>
      <c r="N407" s="98">
        <v>27</v>
      </c>
      <c r="O407" s="99">
        <v>5108.5</v>
      </c>
      <c r="P407" s="98">
        <v>3.4</v>
      </c>
      <c r="Q407" s="98">
        <v>72.320999999999998</v>
      </c>
      <c r="R407" s="97">
        <v>0.73399999999999999</v>
      </c>
      <c r="T407" s="98">
        <v>420</v>
      </c>
      <c r="U407" s="98">
        <v>130</v>
      </c>
      <c r="V407" s="98">
        <v>448</v>
      </c>
      <c r="W407" s="98">
        <v>46</v>
      </c>
      <c r="X407" s="98">
        <v>515</v>
      </c>
      <c r="Y407" s="98">
        <v>27</v>
      </c>
      <c r="Z407" s="98">
        <v>459</v>
      </c>
      <c r="AA407" s="98">
        <v>40</v>
      </c>
      <c r="AB407" s="98">
        <v>447</v>
      </c>
      <c r="AC407" s="98">
        <v>28</v>
      </c>
      <c r="AD407" s="98">
        <v>464</v>
      </c>
      <c r="AE407" s="98">
        <v>28</v>
      </c>
      <c r="AF407" s="95">
        <v>439</v>
      </c>
      <c r="AG407" s="98">
        <v>20</v>
      </c>
      <c r="AH407" s="96">
        <v>455</v>
      </c>
      <c r="AI407" s="96">
        <v>28</v>
      </c>
      <c r="AJ407" s="95">
        <v>446</v>
      </c>
      <c r="AK407" s="95">
        <v>21</v>
      </c>
      <c r="AL407" s="96">
        <v>434</v>
      </c>
      <c r="AM407" s="96">
        <v>21</v>
      </c>
      <c r="AN407" s="96">
        <v>460</v>
      </c>
      <c r="AO407" s="96">
        <v>45</v>
      </c>
      <c r="AP407" s="96">
        <v>449</v>
      </c>
      <c r="AQ407" s="96">
        <v>20</v>
      </c>
      <c r="AR407" s="96">
        <v>443</v>
      </c>
      <c r="AS407" s="93">
        <v>26</v>
      </c>
      <c r="AT407" s="96">
        <v>426</v>
      </c>
      <c r="AU407" s="96">
        <v>15</v>
      </c>
      <c r="AV407" s="99">
        <v>439</v>
      </c>
      <c r="AW407" s="98">
        <v>21</v>
      </c>
      <c r="AX407" s="98">
        <v>437</v>
      </c>
      <c r="AY407" s="98">
        <v>29</v>
      </c>
      <c r="AZ407" s="98">
        <v>460</v>
      </c>
      <c r="BA407" s="98">
        <v>34</v>
      </c>
      <c r="BB407" s="98">
        <v>441</v>
      </c>
      <c r="BC407" s="98">
        <v>27</v>
      </c>
      <c r="BD407" s="98">
        <v>442</v>
      </c>
      <c r="BE407" s="98">
        <v>38</v>
      </c>
      <c r="BF407" s="98">
        <v>439</v>
      </c>
      <c r="BG407" s="98">
        <v>33</v>
      </c>
      <c r="BI407" s="98">
        <v>430</v>
      </c>
      <c r="BJ407" s="98">
        <v>31</v>
      </c>
      <c r="BK407" s="98">
        <v>437</v>
      </c>
      <c r="BL407" s="98">
        <v>50</v>
      </c>
      <c r="BM407" s="98">
        <v>430</v>
      </c>
      <c r="BN407" s="98">
        <v>44</v>
      </c>
      <c r="BO407" s="99">
        <v>453</v>
      </c>
      <c r="BP407" s="98">
        <v>19</v>
      </c>
      <c r="BQ407" s="99">
        <v>459</v>
      </c>
      <c r="BR407" s="98">
        <v>20</v>
      </c>
      <c r="CD407" s="3"/>
      <c r="CE407" s="3"/>
      <c r="CF407" s="3"/>
    </row>
    <row r="408" spans="1:84" s="98" customFormat="1">
      <c r="A408" s="3" t="s">
        <v>577</v>
      </c>
      <c r="B408" s="3" t="s">
        <v>268</v>
      </c>
      <c r="C408" s="3"/>
      <c r="D408" s="93">
        <v>7.3259999999999996</v>
      </c>
      <c r="E408" s="94">
        <v>0.91290000000000004</v>
      </c>
      <c r="F408" s="94">
        <v>6.8999999999999999E-3</v>
      </c>
      <c r="G408" s="95">
        <v>30.91</v>
      </c>
      <c r="H408" s="96">
        <v>0.77</v>
      </c>
      <c r="I408" s="97">
        <v>0.2462</v>
      </c>
      <c r="J408" s="95">
        <v>5.3E-3</v>
      </c>
      <c r="K408" s="96">
        <v>0.26552999999999999</v>
      </c>
      <c r="M408" s="99">
        <v>1418.9</v>
      </c>
      <c r="N408" s="98">
        <v>27</v>
      </c>
      <c r="O408" s="99">
        <v>5110</v>
      </c>
      <c r="P408" s="98">
        <v>3.4</v>
      </c>
      <c r="Q408" s="98">
        <v>72.233999999999995</v>
      </c>
      <c r="R408" s="97">
        <v>0.73370000000000002</v>
      </c>
      <c r="T408" s="98">
        <v>410</v>
      </c>
      <c r="U408" s="98">
        <v>110</v>
      </c>
      <c r="V408" s="98">
        <v>458</v>
      </c>
      <c r="W408" s="98">
        <v>26</v>
      </c>
      <c r="X408" s="98">
        <v>534</v>
      </c>
      <c r="Y408" s="98">
        <v>56</v>
      </c>
      <c r="Z408" s="98">
        <v>474</v>
      </c>
      <c r="AA408" s="98">
        <v>38</v>
      </c>
      <c r="AB408" s="98">
        <v>432</v>
      </c>
      <c r="AC408" s="98">
        <v>25</v>
      </c>
      <c r="AD408" s="98">
        <v>471</v>
      </c>
      <c r="AE408" s="98">
        <v>26</v>
      </c>
      <c r="AF408" s="95">
        <v>442</v>
      </c>
      <c r="AG408" s="98">
        <v>27</v>
      </c>
      <c r="AH408" s="96">
        <v>453</v>
      </c>
      <c r="AI408" s="96">
        <v>35</v>
      </c>
      <c r="AJ408" s="95">
        <v>456</v>
      </c>
      <c r="AK408" s="95">
        <v>26</v>
      </c>
      <c r="AL408" s="96">
        <v>435</v>
      </c>
      <c r="AM408" s="96">
        <v>34</v>
      </c>
      <c r="AN408" s="96">
        <v>445</v>
      </c>
      <c r="AO408" s="96">
        <v>32</v>
      </c>
      <c r="AP408" s="96">
        <v>443</v>
      </c>
      <c r="AQ408" s="96">
        <v>30</v>
      </c>
      <c r="AR408" s="96">
        <v>451</v>
      </c>
      <c r="AS408" s="93">
        <v>39</v>
      </c>
      <c r="AT408" s="96">
        <v>439</v>
      </c>
      <c r="AU408" s="96">
        <v>24</v>
      </c>
      <c r="AV408" s="99">
        <v>446</v>
      </c>
      <c r="AW408" s="98">
        <v>39</v>
      </c>
      <c r="AX408" s="98">
        <v>452</v>
      </c>
      <c r="AY408" s="98">
        <v>30</v>
      </c>
      <c r="AZ408" s="98">
        <v>445</v>
      </c>
      <c r="BA408" s="98">
        <v>23</v>
      </c>
      <c r="BB408" s="98">
        <v>430</v>
      </c>
      <c r="BC408" s="98">
        <v>30</v>
      </c>
      <c r="BD408" s="98">
        <v>445</v>
      </c>
      <c r="BE408" s="98">
        <v>32</v>
      </c>
      <c r="BF408" s="98">
        <v>433</v>
      </c>
      <c r="BG408" s="98">
        <v>29</v>
      </c>
      <c r="BI408" s="98">
        <v>450</v>
      </c>
      <c r="BJ408" s="98">
        <v>34</v>
      </c>
      <c r="BK408" s="98">
        <v>462</v>
      </c>
      <c r="BL408" s="98">
        <v>80</v>
      </c>
      <c r="BM408" s="98">
        <v>456</v>
      </c>
      <c r="BN408" s="98">
        <v>36</v>
      </c>
      <c r="BO408" s="99">
        <v>451</v>
      </c>
      <c r="BP408" s="98">
        <v>27</v>
      </c>
      <c r="BQ408" s="99">
        <v>456</v>
      </c>
      <c r="BR408" s="98">
        <v>28</v>
      </c>
      <c r="CD408" s="3"/>
      <c r="CE408" s="3"/>
      <c r="CF408" s="3"/>
    </row>
    <row r="409" spans="1:84" s="98" customFormat="1">
      <c r="A409" s="3" t="s">
        <v>578</v>
      </c>
      <c r="B409" s="3" t="s">
        <v>268</v>
      </c>
      <c r="C409" s="3"/>
      <c r="D409" s="93">
        <v>7.0090000000000003</v>
      </c>
      <c r="E409" s="94">
        <v>0.9123</v>
      </c>
      <c r="F409" s="94">
        <v>7.4999999999999997E-3</v>
      </c>
      <c r="G409" s="95">
        <v>30.69</v>
      </c>
      <c r="H409" s="96">
        <v>0.78</v>
      </c>
      <c r="I409" s="97">
        <v>0.24451000000000001</v>
      </c>
      <c r="J409" s="95">
        <v>5.1999999999999998E-3</v>
      </c>
      <c r="K409" s="96">
        <v>0.32580999999999999</v>
      </c>
      <c r="M409" s="99">
        <v>1410.1</v>
      </c>
      <c r="N409" s="98">
        <v>27</v>
      </c>
      <c r="O409" s="99">
        <v>5107.6000000000004</v>
      </c>
      <c r="P409" s="98">
        <v>3.2</v>
      </c>
      <c r="Q409" s="98">
        <v>72.391999999999996</v>
      </c>
      <c r="R409" s="97">
        <v>0.73440000000000005</v>
      </c>
      <c r="T409" s="98">
        <v>410</v>
      </c>
      <c r="U409" s="98">
        <v>180</v>
      </c>
      <c r="V409" s="98">
        <v>451</v>
      </c>
      <c r="W409" s="98">
        <v>30</v>
      </c>
      <c r="X409" s="98">
        <v>526</v>
      </c>
      <c r="Y409" s="98">
        <v>51</v>
      </c>
      <c r="Z409" s="98">
        <v>461</v>
      </c>
      <c r="AA409" s="98">
        <v>39</v>
      </c>
      <c r="AB409" s="98">
        <v>451</v>
      </c>
      <c r="AC409" s="98">
        <v>52</v>
      </c>
      <c r="AD409" s="98">
        <v>473</v>
      </c>
      <c r="AE409" s="98">
        <v>44</v>
      </c>
      <c r="AF409" s="95">
        <v>445</v>
      </c>
      <c r="AG409" s="98">
        <v>36</v>
      </c>
      <c r="AH409" s="96">
        <v>459</v>
      </c>
      <c r="AI409" s="96">
        <v>45</v>
      </c>
      <c r="AJ409" s="95">
        <v>453</v>
      </c>
      <c r="AK409" s="95">
        <v>31</v>
      </c>
      <c r="AL409" s="96">
        <v>432</v>
      </c>
      <c r="AM409" s="96">
        <v>38</v>
      </c>
      <c r="AN409" s="96">
        <v>450</v>
      </c>
      <c r="AO409" s="96">
        <v>41</v>
      </c>
      <c r="AP409" s="96">
        <v>456</v>
      </c>
      <c r="AQ409" s="96">
        <v>43</v>
      </c>
      <c r="AR409" s="96">
        <v>482</v>
      </c>
      <c r="AS409" s="93">
        <v>41</v>
      </c>
      <c r="AT409" s="96">
        <v>450</v>
      </c>
      <c r="AU409" s="96">
        <v>40</v>
      </c>
      <c r="AV409" s="99">
        <v>460</v>
      </c>
      <c r="AW409" s="98">
        <v>37</v>
      </c>
      <c r="AX409" s="98">
        <v>454</v>
      </c>
      <c r="AY409" s="98">
        <v>38</v>
      </c>
      <c r="AZ409" s="98">
        <v>470</v>
      </c>
      <c r="BA409" s="98">
        <v>47</v>
      </c>
      <c r="BB409" s="98">
        <v>438</v>
      </c>
      <c r="BC409" s="98">
        <v>34</v>
      </c>
      <c r="BD409" s="98">
        <v>468</v>
      </c>
      <c r="BE409" s="98">
        <v>37</v>
      </c>
      <c r="BF409" s="98">
        <v>444</v>
      </c>
      <c r="BG409" s="98">
        <v>34</v>
      </c>
      <c r="BI409" s="98">
        <v>439</v>
      </c>
      <c r="BJ409" s="98">
        <v>43</v>
      </c>
      <c r="BK409" s="98">
        <v>482</v>
      </c>
      <c r="BL409" s="98">
        <v>68</v>
      </c>
      <c r="BM409" s="98">
        <v>448</v>
      </c>
      <c r="BN409" s="98">
        <v>54</v>
      </c>
      <c r="BO409" s="99">
        <v>462</v>
      </c>
      <c r="BP409" s="98">
        <v>40</v>
      </c>
      <c r="BQ409" s="99">
        <v>468</v>
      </c>
      <c r="BR409" s="98">
        <v>42</v>
      </c>
      <c r="CD409" s="3"/>
      <c r="CE409" s="3"/>
      <c r="CF409" s="3"/>
    </row>
    <row r="410" spans="1:84" s="98" customFormat="1">
      <c r="A410" s="3" t="s">
        <v>579</v>
      </c>
      <c r="B410" s="3" t="s">
        <v>268</v>
      </c>
      <c r="C410" s="3"/>
      <c r="D410" s="93">
        <v>7.0110000000000001</v>
      </c>
      <c r="E410" s="94">
        <v>0.91200000000000003</v>
      </c>
      <c r="F410" s="94">
        <v>6.8999999999999999E-3</v>
      </c>
      <c r="G410" s="95">
        <v>30.68</v>
      </c>
      <c r="H410" s="96">
        <v>0.77</v>
      </c>
      <c r="I410" s="97">
        <v>0.24445</v>
      </c>
      <c r="J410" s="95">
        <v>5.1999999999999998E-3</v>
      </c>
      <c r="K410" s="96">
        <v>0.11108999999999999</v>
      </c>
      <c r="M410" s="99">
        <v>1409.8</v>
      </c>
      <c r="N410" s="98">
        <v>27</v>
      </c>
      <c r="O410" s="99">
        <v>5106.5</v>
      </c>
      <c r="P410" s="98">
        <v>3.1</v>
      </c>
      <c r="Q410" s="98">
        <v>72.393000000000001</v>
      </c>
      <c r="R410" s="97">
        <v>0.73440000000000005</v>
      </c>
      <c r="T410" s="98">
        <v>420</v>
      </c>
      <c r="U410" s="98">
        <v>150</v>
      </c>
      <c r="V410" s="98">
        <v>435</v>
      </c>
      <c r="W410" s="98">
        <v>28</v>
      </c>
      <c r="X410" s="98">
        <v>472</v>
      </c>
      <c r="Y410" s="98">
        <v>33</v>
      </c>
      <c r="Z410" s="98">
        <v>454</v>
      </c>
      <c r="AA410" s="98">
        <v>39</v>
      </c>
      <c r="AB410" s="98">
        <v>400</v>
      </c>
      <c r="AC410" s="98">
        <v>35</v>
      </c>
      <c r="AD410" s="98">
        <v>432</v>
      </c>
      <c r="AE410" s="98">
        <v>29</v>
      </c>
      <c r="AF410" s="95">
        <v>409</v>
      </c>
      <c r="AG410" s="98">
        <v>31</v>
      </c>
      <c r="AH410" s="96">
        <v>416</v>
      </c>
      <c r="AI410" s="96">
        <v>34</v>
      </c>
      <c r="AJ410" s="95">
        <v>415</v>
      </c>
      <c r="AK410" s="95">
        <v>33</v>
      </c>
      <c r="AL410" s="96">
        <v>407</v>
      </c>
      <c r="AM410" s="96">
        <v>35</v>
      </c>
      <c r="AN410" s="96">
        <v>418</v>
      </c>
      <c r="AO410" s="96">
        <v>37</v>
      </c>
      <c r="AP410" s="96">
        <v>413</v>
      </c>
      <c r="AQ410" s="96">
        <v>34</v>
      </c>
      <c r="AR410" s="96">
        <v>420</v>
      </c>
      <c r="AS410" s="93">
        <v>20</v>
      </c>
      <c r="AT410" s="96">
        <v>400</v>
      </c>
      <c r="AU410" s="96">
        <v>31</v>
      </c>
      <c r="AV410" s="99">
        <v>397</v>
      </c>
      <c r="AW410" s="98">
        <v>24</v>
      </c>
      <c r="AX410" s="98">
        <v>425</v>
      </c>
      <c r="AY410" s="98">
        <v>24</v>
      </c>
      <c r="AZ410" s="98">
        <v>433</v>
      </c>
      <c r="BA410" s="98">
        <v>35</v>
      </c>
      <c r="BB410" s="98">
        <v>409</v>
      </c>
      <c r="BC410" s="98">
        <v>20</v>
      </c>
      <c r="BD410" s="98">
        <v>418</v>
      </c>
      <c r="BE410" s="98">
        <v>30</v>
      </c>
      <c r="BF410" s="98">
        <v>401</v>
      </c>
      <c r="BG410" s="98">
        <v>33</v>
      </c>
      <c r="BI410" s="98">
        <v>424</v>
      </c>
      <c r="BJ410" s="98">
        <v>36</v>
      </c>
      <c r="BK410" s="98">
        <v>389</v>
      </c>
      <c r="BL410" s="98">
        <v>50</v>
      </c>
      <c r="BM410" s="98">
        <v>408</v>
      </c>
      <c r="BN410" s="98">
        <v>32</v>
      </c>
      <c r="BO410" s="99">
        <v>427</v>
      </c>
      <c r="BP410" s="98">
        <v>30</v>
      </c>
      <c r="BQ410" s="99">
        <v>430</v>
      </c>
      <c r="BR410" s="98">
        <v>30</v>
      </c>
      <c r="CD410" s="3"/>
      <c r="CE410" s="3"/>
      <c r="CF410" s="3"/>
    </row>
    <row r="411" spans="1:84" s="98" customFormat="1">
      <c r="A411" s="3" t="s">
        <v>580</v>
      </c>
      <c r="B411" s="3" t="s">
        <v>268</v>
      </c>
      <c r="C411" s="3"/>
      <c r="D411" s="93">
        <v>7.31</v>
      </c>
      <c r="E411" s="94">
        <v>0.91139999999999999</v>
      </c>
      <c r="F411" s="94">
        <v>6.1999999999999998E-3</v>
      </c>
      <c r="G411" s="95">
        <v>30.63</v>
      </c>
      <c r="H411" s="96">
        <v>0.76</v>
      </c>
      <c r="I411" s="97">
        <v>0.24407000000000001</v>
      </c>
      <c r="J411" s="95">
        <v>5.1999999999999998E-3</v>
      </c>
      <c r="K411" s="96">
        <v>0.33023999999999998</v>
      </c>
      <c r="M411" s="99">
        <v>1407.8</v>
      </c>
      <c r="N411" s="98">
        <v>27</v>
      </c>
      <c r="O411" s="99">
        <v>5107.8</v>
      </c>
      <c r="P411" s="98">
        <v>2.4</v>
      </c>
      <c r="Q411" s="98">
        <v>72.438000000000002</v>
      </c>
      <c r="R411" s="97">
        <v>0.73429999999999995</v>
      </c>
      <c r="T411" s="98">
        <v>410</v>
      </c>
      <c r="U411" s="98">
        <v>180</v>
      </c>
      <c r="V411" s="98">
        <v>452</v>
      </c>
      <c r="W411" s="98">
        <v>36</v>
      </c>
      <c r="X411" s="98">
        <v>528</v>
      </c>
      <c r="Y411" s="98">
        <v>35</v>
      </c>
      <c r="Z411" s="98">
        <v>459</v>
      </c>
      <c r="AA411" s="98">
        <v>29</v>
      </c>
      <c r="AB411" s="98">
        <v>455</v>
      </c>
      <c r="AC411" s="98">
        <v>22</v>
      </c>
      <c r="AD411" s="98">
        <v>474</v>
      </c>
      <c r="AE411" s="98">
        <v>29</v>
      </c>
      <c r="AF411" s="95">
        <v>448</v>
      </c>
      <c r="AG411" s="98">
        <v>19</v>
      </c>
      <c r="AH411" s="96">
        <v>451</v>
      </c>
      <c r="AI411" s="96">
        <v>26</v>
      </c>
      <c r="AJ411" s="95">
        <v>455</v>
      </c>
      <c r="AK411" s="95">
        <v>21</v>
      </c>
      <c r="AL411" s="96">
        <v>434</v>
      </c>
      <c r="AM411" s="96">
        <v>24</v>
      </c>
      <c r="AN411" s="96">
        <v>462</v>
      </c>
      <c r="AO411" s="96">
        <v>27</v>
      </c>
      <c r="AP411" s="96">
        <v>446</v>
      </c>
      <c r="AQ411" s="96">
        <v>22</v>
      </c>
      <c r="AR411" s="96">
        <v>470</v>
      </c>
      <c r="AS411" s="93">
        <v>36</v>
      </c>
      <c r="AT411" s="96">
        <v>449</v>
      </c>
      <c r="AU411" s="96">
        <v>29</v>
      </c>
      <c r="AV411" s="99">
        <v>441</v>
      </c>
      <c r="AW411" s="98">
        <v>31</v>
      </c>
      <c r="AX411" s="98">
        <v>457</v>
      </c>
      <c r="AY411" s="98">
        <v>24</v>
      </c>
      <c r="AZ411" s="98">
        <v>460</v>
      </c>
      <c r="BA411" s="98">
        <v>21</v>
      </c>
      <c r="BB411" s="98">
        <v>449</v>
      </c>
      <c r="BC411" s="98">
        <v>34</v>
      </c>
      <c r="BD411" s="98">
        <v>450</v>
      </c>
      <c r="BE411" s="98">
        <v>27</v>
      </c>
      <c r="BF411" s="98">
        <v>439</v>
      </c>
      <c r="BG411" s="98">
        <v>23</v>
      </c>
      <c r="BI411" s="98">
        <v>462</v>
      </c>
      <c r="BJ411" s="98">
        <v>36</v>
      </c>
      <c r="BK411" s="98">
        <v>449</v>
      </c>
      <c r="BL411" s="98">
        <v>46</v>
      </c>
      <c r="BM411" s="98">
        <v>418</v>
      </c>
      <c r="BN411" s="98">
        <v>20</v>
      </c>
      <c r="BO411" s="99">
        <v>471</v>
      </c>
      <c r="BP411" s="98">
        <v>20</v>
      </c>
      <c r="BQ411" s="99">
        <v>477</v>
      </c>
      <c r="BR411" s="98">
        <v>20</v>
      </c>
      <c r="CD411" s="3"/>
      <c r="CE411" s="3"/>
      <c r="CF411" s="3"/>
    </row>
    <row r="412" spans="1:84" s="98" customFormat="1">
      <c r="A412" s="3" t="s">
        <v>581</v>
      </c>
      <c r="B412" s="3" t="s">
        <v>268</v>
      </c>
      <c r="C412" s="3"/>
      <c r="D412" s="93">
        <v>7.15</v>
      </c>
      <c r="E412" s="94">
        <v>0.91159999999999997</v>
      </c>
      <c r="F412" s="94">
        <v>7.1000000000000004E-3</v>
      </c>
      <c r="G412" s="95">
        <v>30.62</v>
      </c>
      <c r="H412" s="96">
        <v>0.77</v>
      </c>
      <c r="I412" s="97">
        <v>0.24387</v>
      </c>
      <c r="J412" s="95">
        <v>5.1999999999999998E-3</v>
      </c>
      <c r="K412" s="96">
        <v>0.14931</v>
      </c>
      <c r="M412" s="99">
        <v>1406.8</v>
      </c>
      <c r="N412" s="98">
        <v>27</v>
      </c>
      <c r="O412" s="99">
        <v>5106.2</v>
      </c>
      <c r="P412" s="98">
        <v>3.1</v>
      </c>
      <c r="Q412" s="98">
        <v>72.45</v>
      </c>
      <c r="R412" s="97">
        <v>0.73529999999999995</v>
      </c>
      <c r="T412" s="98">
        <v>410</v>
      </c>
      <c r="U412" s="98">
        <v>150</v>
      </c>
      <c r="V412" s="98">
        <v>464</v>
      </c>
      <c r="W412" s="98">
        <v>51</v>
      </c>
      <c r="X412" s="98">
        <v>533</v>
      </c>
      <c r="Y412" s="98">
        <v>51</v>
      </c>
      <c r="Z412" s="98">
        <v>509</v>
      </c>
      <c r="AA412" s="98">
        <v>53</v>
      </c>
      <c r="AB412" s="98">
        <v>477</v>
      </c>
      <c r="AC412" s="98">
        <v>52</v>
      </c>
      <c r="AD412" s="98">
        <v>480</v>
      </c>
      <c r="AE412" s="98">
        <v>55</v>
      </c>
      <c r="AF412" s="95">
        <v>466</v>
      </c>
      <c r="AG412" s="98">
        <v>46</v>
      </c>
      <c r="AH412" s="96">
        <v>506</v>
      </c>
      <c r="AI412" s="96">
        <v>55</v>
      </c>
      <c r="AJ412" s="95">
        <v>465</v>
      </c>
      <c r="AK412" s="95">
        <v>45</v>
      </c>
      <c r="AL412" s="96">
        <v>452</v>
      </c>
      <c r="AM412" s="96">
        <v>47</v>
      </c>
      <c r="AN412" s="96">
        <v>455</v>
      </c>
      <c r="AO412" s="96">
        <v>48</v>
      </c>
      <c r="AP412" s="96">
        <v>466</v>
      </c>
      <c r="AQ412" s="96">
        <v>41</v>
      </c>
      <c r="AR412" s="96">
        <v>482</v>
      </c>
      <c r="AS412" s="93">
        <v>57</v>
      </c>
      <c r="AT412" s="96">
        <v>487</v>
      </c>
      <c r="AU412" s="96">
        <v>44</v>
      </c>
      <c r="AV412" s="99">
        <v>462</v>
      </c>
      <c r="AW412" s="98">
        <v>46</v>
      </c>
      <c r="AX412" s="98">
        <v>472</v>
      </c>
      <c r="AY412" s="98">
        <v>46</v>
      </c>
      <c r="AZ412" s="98">
        <v>462</v>
      </c>
      <c r="BA412" s="98">
        <v>52</v>
      </c>
      <c r="BB412" s="98">
        <v>474</v>
      </c>
      <c r="BC412" s="98">
        <v>54</v>
      </c>
      <c r="BD412" s="98">
        <v>483</v>
      </c>
      <c r="BE412" s="98">
        <v>58</v>
      </c>
      <c r="BF412" s="98">
        <v>449</v>
      </c>
      <c r="BG412" s="98">
        <v>39</v>
      </c>
      <c r="BI412" s="98">
        <v>489</v>
      </c>
      <c r="BJ412" s="98">
        <v>47</v>
      </c>
      <c r="BK412" s="98">
        <v>471</v>
      </c>
      <c r="BL412" s="98">
        <v>46</v>
      </c>
      <c r="BM412" s="98">
        <v>451</v>
      </c>
      <c r="BN412" s="98">
        <v>60</v>
      </c>
      <c r="BO412" s="99">
        <v>486</v>
      </c>
      <c r="BP412" s="98">
        <v>46</v>
      </c>
      <c r="BQ412" s="99">
        <v>491</v>
      </c>
      <c r="BR412" s="98">
        <v>46</v>
      </c>
      <c r="CD412" s="3"/>
      <c r="CE412" s="3"/>
      <c r="CF412" s="3"/>
    </row>
    <row r="413" spans="1:84" s="98" customFormat="1">
      <c r="A413" s="3" t="s">
        <v>582</v>
      </c>
      <c r="B413" s="3" t="s">
        <v>268</v>
      </c>
      <c r="C413" s="3"/>
      <c r="D413" s="93">
        <v>7.07</v>
      </c>
      <c r="E413" s="94">
        <v>0.91</v>
      </c>
      <c r="F413" s="94">
        <v>6.6E-3</v>
      </c>
      <c r="G413" s="95">
        <v>30.72</v>
      </c>
      <c r="H413" s="96">
        <v>0.77</v>
      </c>
      <c r="I413" s="97">
        <v>0.24501999999999999</v>
      </c>
      <c r="J413" s="95">
        <v>5.3E-3</v>
      </c>
      <c r="K413" s="96">
        <v>0.3024</v>
      </c>
      <c r="M413" s="99">
        <v>1412.7</v>
      </c>
      <c r="N413" s="98">
        <v>27</v>
      </c>
      <c r="O413" s="99">
        <v>5104.3</v>
      </c>
      <c r="P413" s="98">
        <v>1.8</v>
      </c>
      <c r="Q413" s="98">
        <v>72.316999999999993</v>
      </c>
      <c r="R413" s="97">
        <v>0.73319999999999996</v>
      </c>
      <c r="T413" s="98">
        <v>430</v>
      </c>
      <c r="U413" s="98">
        <v>160</v>
      </c>
      <c r="V413" s="98">
        <v>440</v>
      </c>
      <c r="W413" s="98">
        <v>43</v>
      </c>
      <c r="X413" s="98">
        <v>523</v>
      </c>
      <c r="Y413" s="98">
        <v>53</v>
      </c>
      <c r="Z413" s="98">
        <v>469</v>
      </c>
      <c r="AA413" s="98">
        <v>39</v>
      </c>
      <c r="AB413" s="98">
        <v>443</v>
      </c>
      <c r="AC413" s="98">
        <v>31</v>
      </c>
      <c r="AD413" s="98">
        <v>460</v>
      </c>
      <c r="AE413" s="98">
        <v>46</v>
      </c>
      <c r="AF413" s="95">
        <v>443</v>
      </c>
      <c r="AG413" s="98">
        <v>30</v>
      </c>
      <c r="AH413" s="96">
        <v>456</v>
      </c>
      <c r="AI413" s="96">
        <v>40</v>
      </c>
      <c r="AJ413" s="95">
        <v>454</v>
      </c>
      <c r="AK413" s="95">
        <v>31</v>
      </c>
      <c r="AL413" s="96">
        <v>434</v>
      </c>
      <c r="AM413" s="96">
        <v>29</v>
      </c>
      <c r="AN413" s="96">
        <v>465</v>
      </c>
      <c r="AO413" s="96">
        <v>47</v>
      </c>
      <c r="AP413" s="96">
        <v>454</v>
      </c>
      <c r="AQ413" s="96">
        <v>30</v>
      </c>
      <c r="AR413" s="96">
        <v>448</v>
      </c>
      <c r="AS413" s="93">
        <v>41</v>
      </c>
      <c r="AT413" s="96">
        <v>434</v>
      </c>
      <c r="AU413" s="96">
        <v>25</v>
      </c>
      <c r="AV413" s="99">
        <v>439</v>
      </c>
      <c r="AW413" s="98">
        <v>32</v>
      </c>
      <c r="AX413" s="98">
        <v>441</v>
      </c>
      <c r="AY413" s="98">
        <v>37</v>
      </c>
      <c r="AZ413" s="98">
        <v>460</v>
      </c>
      <c r="BA413" s="98">
        <v>44</v>
      </c>
      <c r="BB413" s="98">
        <v>436</v>
      </c>
      <c r="BC413" s="98">
        <v>41</v>
      </c>
      <c r="BD413" s="98">
        <v>455</v>
      </c>
      <c r="BE413" s="98">
        <v>35</v>
      </c>
      <c r="BF413" s="98">
        <v>442</v>
      </c>
      <c r="BG413" s="98">
        <v>33</v>
      </c>
      <c r="BI413" s="98">
        <v>446</v>
      </c>
      <c r="BJ413" s="98">
        <v>32</v>
      </c>
      <c r="BK413" s="98">
        <v>478</v>
      </c>
      <c r="BL413" s="98">
        <v>81</v>
      </c>
      <c r="BM413" s="98">
        <v>458</v>
      </c>
      <c r="BN413" s="98">
        <v>37</v>
      </c>
      <c r="BO413" s="99">
        <v>455</v>
      </c>
      <c r="BP413" s="98">
        <v>38</v>
      </c>
      <c r="BQ413" s="99">
        <v>461</v>
      </c>
      <c r="BR413" s="98">
        <v>39</v>
      </c>
      <c r="CD413" s="3"/>
      <c r="CE413" s="3"/>
      <c r="CF413" s="3"/>
    </row>
    <row r="414" spans="1:84" s="98" customFormat="1">
      <c r="A414" s="3" t="s">
        <v>583</v>
      </c>
      <c r="B414" s="3" t="s">
        <v>268</v>
      </c>
      <c r="C414" s="3"/>
      <c r="D414" s="93">
        <v>7.0259999999999998</v>
      </c>
      <c r="E414" s="94">
        <v>0.91069999999999995</v>
      </c>
      <c r="F414" s="94">
        <v>5.7000000000000002E-3</v>
      </c>
      <c r="G414" s="95">
        <v>30.79</v>
      </c>
      <c r="H414" s="96">
        <v>0.76</v>
      </c>
      <c r="I414" s="97">
        <v>0.24540000000000001</v>
      </c>
      <c r="J414" s="95">
        <v>5.3E-3</v>
      </c>
      <c r="K414" s="96">
        <v>0.41328999999999999</v>
      </c>
      <c r="M414" s="99">
        <v>1414.7</v>
      </c>
      <c r="N414" s="98">
        <v>27</v>
      </c>
      <c r="O414" s="99">
        <v>5105.3999999999996</v>
      </c>
      <c r="P414" s="98">
        <v>2</v>
      </c>
      <c r="Q414" s="98">
        <v>72.305000000000007</v>
      </c>
      <c r="R414" s="97">
        <v>0.73380000000000001</v>
      </c>
      <c r="T414" s="98">
        <v>350</v>
      </c>
      <c r="U414" s="98">
        <v>250</v>
      </c>
      <c r="V414" s="98">
        <v>445</v>
      </c>
      <c r="W414" s="98">
        <v>31</v>
      </c>
      <c r="X414" s="98">
        <v>521</v>
      </c>
      <c r="Y414" s="98">
        <v>45</v>
      </c>
      <c r="Z414" s="98">
        <v>469</v>
      </c>
      <c r="AA414" s="98">
        <v>33</v>
      </c>
      <c r="AB414" s="98">
        <v>464</v>
      </c>
      <c r="AC414" s="98">
        <v>44</v>
      </c>
      <c r="AD414" s="98">
        <v>470</v>
      </c>
      <c r="AE414" s="98">
        <v>37</v>
      </c>
      <c r="AF414" s="95">
        <v>440</v>
      </c>
      <c r="AG414" s="98">
        <v>27</v>
      </c>
      <c r="AH414" s="96">
        <v>456</v>
      </c>
      <c r="AI414" s="96">
        <v>27</v>
      </c>
      <c r="AJ414" s="95">
        <v>452</v>
      </c>
      <c r="AK414" s="95">
        <v>30</v>
      </c>
      <c r="AL414" s="96">
        <v>424</v>
      </c>
      <c r="AM414" s="96">
        <v>28</v>
      </c>
      <c r="AN414" s="96">
        <v>461</v>
      </c>
      <c r="AO414" s="96">
        <v>35</v>
      </c>
      <c r="AP414" s="96">
        <v>448</v>
      </c>
      <c r="AQ414" s="96">
        <v>35</v>
      </c>
      <c r="AR414" s="96">
        <v>466</v>
      </c>
      <c r="AS414" s="93">
        <v>40</v>
      </c>
      <c r="AT414" s="96">
        <v>445</v>
      </c>
      <c r="AU414" s="96">
        <v>35</v>
      </c>
      <c r="AV414" s="99">
        <v>445</v>
      </c>
      <c r="AW414" s="98">
        <v>35</v>
      </c>
      <c r="AX414" s="98">
        <v>466</v>
      </c>
      <c r="AY414" s="98">
        <v>39</v>
      </c>
      <c r="AZ414" s="98">
        <v>459</v>
      </c>
      <c r="BA414" s="98">
        <v>29</v>
      </c>
      <c r="BB414" s="98">
        <v>433</v>
      </c>
      <c r="BC414" s="98">
        <v>42</v>
      </c>
      <c r="BD414" s="98">
        <v>449</v>
      </c>
      <c r="BE414" s="98">
        <v>44</v>
      </c>
      <c r="BF414" s="98">
        <v>436</v>
      </c>
      <c r="BG414" s="98">
        <v>37</v>
      </c>
      <c r="BI414" s="98">
        <v>432</v>
      </c>
      <c r="BJ414" s="98">
        <v>31</v>
      </c>
      <c r="BK414" s="98">
        <v>500</v>
      </c>
      <c r="BL414" s="98">
        <v>80</v>
      </c>
      <c r="BM414" s="98">
        <v>436</v>
      </c>
      <c r="BN414" s="98">
        <v>34</v>
      </c>
      <c r="BO414" s="99">
        <v>456</v>
      </c>
      <c r="BP414" s="98">
        <v>32</v>
      </c>
      <c r="BQ414" s="99">
        <v>461</v>
      </c>
      <c r="BR414" s="98">
        <v>32</v>
      </c>
      <c r="CD414" s="3"/>
      <c r="CE414" s="3"/>
      <c r="CF414" s="3"/>
    </row>
    <row r="415" spans="1:84" s="98" customFormat="1">
      <c r="A415" s="3" t="s">
        <v>584</v>
      </c>
      <c r="B415" s="3" t="s">
        <v>268</v>
      </c>
      <c r="C415" s="3"/>
      <c r="D415" s="93">
        <v>7.0229999999999997</v>
      </c>
      <c r="E415" s="94">
        <v>0.91269999999999996</v>
      </c>
      <c r="F415" s="94">
        <v>6.6E-3</v>
      </c>
      <c r="G415" s="95">
        <v>30.66</v>
      </c>
      <c r="H415" s="96">
        <v>0.76</v>
      </c>
      <c r="I415" s="97">
        <v>0.24382000000000001</v>
      </c>
      <c r="J415" s="95">
        <v>5.1999999999999998E-3</v>
      </c>
      <c r="K415" s="96">
        <v>0.20311999999999999</v>
      </c>
      <c r="M415" s="99">
        <v>1406.5</v>
      </c>
      <c r="N415" s="98">
        <v>27</v>
      </c>
      <c r="O415" s="99">
        <v>5107.3</v>
      </c>
      <c r="P415" s="98">
        <v>1.9</v>
      </c>
      <c r="Q415" s="98">
        <v>72.465000000000003</v>
      </c>
      <c r="R415" s="97">
        <v>0.73660000000000003</v>
      </c>
      <c r="T415" s="98">
        <v>430</v>
      </c>
      <c r="U415" s="98">
        <v>110</v>
      </c>
      <c r="V415" s="98">
        <v>465</v>
      </c>
      <c r="W415" s="98">
        <v>36</v>
      </c>
      <c r="X415" s="98">
        <v>508</v>
      </c>
      <c r="Y415" s="98">
        <v>38</v>
      </c>
      <c r="Z415" s="98">
        <v>459</v>
      </c>
      <c r="AA415" s="98">
        <v>37</v>
      </c>
      <c r="AB415" s="98">
        <v>444</v>
      </c>
      <c r="AC415" s="98">
        <v>38</v>
      </c>
      <c r="AD415" s="98">
        <v>456</v>
      </c>
      <c r="AE415" s="98">
        <v>34</v>
      </c>
      <c r="AF415" s="95">
        <v>436</v>
      </c>
      <c r="AG415" s="98">
        <v>29</v>
      </c>
      <c r="AH415" s="96">
        <v>449</v>
      </c>
      <c r="AI415" s="96">
        <v>42</v>
      </c>
      <c r="AJ415" s="95">
        <v>442</v>
      </c>
      <c r="AK415" s="95">
        <v>32</v>
      </c>
      <c r="AL415" s="96">
        <v>430</v>
      </c>
      <c r="AM415" s="96">
        <v>31</v>
      </c>
      <c r="AN415" s="96">
        <v>466</v>
      </c>
      <c r="AO415" s="96">
        <v>41</v>
      </c>
      <c r="AP415" s="96">
        <v>438</v>
      </c>
      <c r="AQ415" s="96">
        <v>39</v>
      </c>
      <c r="AR415" s="96">
        <v>454</v>
      </c>
      <c r="AS415" s="93">
        <v>40</v>
      </c>
      <c r="AT415" s="96">
        <v>447</v>
      </c>
      <c r="AU415" s="96">
        <v>31</v>
      </c>
      <c r="AV415" s="99">
        <v>448</v>
      </c>
      <c r="AW415" s="98">
        <v>35</v>
      </c>
      <c r="AX415" s="98">
        <v>450</v>
      </c>
      <c r="AY415" s="98">
        <v>29</v>
      </c>
      <c r="AZ415" s="98">
        <v>463</v>
      </c>
      <c r="BA415" s="98">
        <v>32</v>
      </c>
      <c r="BB415" s="98">
        <v>436</v>
      </c>
      <c r="BC415" s="98">
        <v>38</v>
      </c>
      <c r="BD415" s="98">
        <v>450</v>
      </c>
      <c r="BE415" s="98">
        <v>36</v>
      </c>
      <c r="BF415" s="98">
        <v>439</v>
      </c>
      <c r="BG415" s="98">
        <v>31</v>
      </c>
      <c r="BI415" s="98">
        <v>441</v>
      </c>
      <c r="BJ415" s="98">
        <v>41</v>
      </c>
      <c r="BK415" s="98">
        <v>432</v>
      </c>
      <c r="BL415" s="98">
        <v>61</v>
      </c>
      <c r="BM415" s="98">
        <v>427</v>
      </c>
      <c r="BN415" s="98">
        <v>38</v>
      </c>
      <c r="BO415" s="99">
        <v>454</v>
      </c>
      <c r="BP415" s="98">
        <v>28</v>
      </c>
      <c r="BQ415" s="99">
        <v>450</v>
      </c>
      <c r="BR415" s="98">
        <v>28</v>
      </c>
      <c r="CD415" s="3"/>
      <c r="CE415" s="3"/>
      <c r="CF415" s="3"/>
    </row>
    <row r="416" spans="1:84" s="98" customFormat="1">
      <c r="A416" s="3" t="s">
        <v>585</v>
      </c>
      <c r="B416" s="3" t="s">
        <v>268</v>
      </c>
      <c r="C416" s="3"/>
      <c r="D416" s="93">
        <v>7.0650000000000004</v>
      </c>
      <c r="E416" s="94">
        <v>0.90980000000000005</v>
      </c>
      <c r="F416" s="94">
        <v>6.0000000000000001E-3</v>
      </c>
      <c r="G416" s="95">
        <v>30.78</v>
      </c>
      <c r="H416" s="96">
        <v>0.76</v>
      </c>
      <c r="I416" s="97">
        <v>0.2455</v>
      </c>
      <c r="J416" s="95">
        <v>5.3E-3</v>
      </c>
      <c r="K416" s="96">
        <v>8.8937000000000002E-2</v>
      </c>
      <c r="M416" s="99">
        <v>1415.2</v>
      </c>
      <c r="N416" s="98">
        <v>27</v>
      </c>
      <c r="O416" s="99">
        <v>5105.3999999999996</v>
      </c>
      <c r="P416" s="98">
        <v>2.2000000000000002</v>
      </c>
      <c r="Q416" s="98">
        <v>72.28</v>
      </c>
      <c r="R416" s="97">
        <v>0.7329</v>
      </c>
      <c r="T416" s="98">
        <v>410</v>
      </c>
      <c r="U416" s="98">
        <v>120</v>
      </c>
      <c r="V416" s="98">
        <v>447</v>
      </c>
      <c r="W416" s="98">
        <v>29</v>
      </c>
      <c r="X416" s="98">
        <v>539</v>
      </c>
      <c r="Y416" s="98">
        <v>64</v>
      </c>
      <c r="Z416" s="98">
        <v>461</v>
      </c>
      <c r="AA416" s="98">
        <v>38</v>
      </c>
      <c r="AB416" s="98">
        <v>469</v>
      </c>
      <c r="AC416" s="98">
        <v>57</v>
      </c>
      <c r="AD416" s="98">
        <v>467</v>
      </c>
      <c r="AE416" s="98">
        <v>40</v>
      </c>
      <c r="AF416" s="95">
        <v>451</v>
      </c>
      <c r="AG416" s="98">
        <v>38</v>
      </c>
      <c r="AH416" s="96">
        <v>474</v>
      </c>
      <c r="AI416" s="96">
        <v>42</v>
      </c>
      <c r="AJ416" s="95">
        <v>454</v>
      </c>
      <c r="AK416" s="95">
        <v>39</v>
      </c>
      <c r="AL416" s="96">
        <v>445</v>
      </c>
      <c r="AM416" s="96">
        <v>39</v>
      </c>
      <c r="AN416" s="96">
        <v>456</v>
      </c>
      <c r="AO416" s="96">
        <v>48</v>
      </c>
      <c r="AP416" s="96">
        <v>471</v>
      </c>
      <c r="AQ416" s="96">
        <v>44</v>
      </c>
      <c r="AR416" s="96">
        <v>445</v>
      </c>
      <c r="AS416" s="93">
        <v>44</v>
      </c>
      <c r="AT416" s="96">
        <v>458</v>
      </c>
      <c r="AU416" s="96">
        <v>43</v>
      </c>
      <c r="AV416" s="99">
        <v>468</v>
      </c>
      <c r="AW416" s="98">
        <v>42</v>
      </c>
      <c r="AX416" s="98">
        <v>472</v>
      </c>
      <c r="AY416" s="98">
        <v>42</v>
      </c>
      <c r="AZ416" s="98">
        <v>475</v>
      </c>
      <c r="BA416" s="98">
        <v>47</v>
      </c>
      <c r="BB416" s="98">
        <v>456</v>
      </c>
      <c r="BC416" s="98">
        <v>48</v>
      </c>
      <c r="BD416" s="98">
        <v>456</v>
      </c>
      <c r="BE416" s="98">
        <v>40</v>
      </c>
      <c r="BF416" s="98">
        <v>456</v>
      </c>
      <c r="BG416" s="98">
        <v>47</v>
      </c>
      <c r="BI416" s="98">
        <v>474</v>
      </c>
      <c r="BJ416" s="98">
        <v>57</v>
      </c>
      <c r="BK416" s="98">
        <v>436</v>
      </c>
      <c r="BL416" s="98">
        <v>79</v>
      </c>
      <c r="BM416" s="98">
        <v>482</v>
      </c>
      <c r="BN416" s="98">
        <v>54</v>
      </c>
      <c r="BO416" s="99">
        <v>473</v>
      </c>
      <c r="BP416" s="98">
        <v>46</v>
      </c>
      <c r="BQ416" s="99">
        <v>472</v>
      </c>
      <c r="BR416" s="98">
        <v>46</v>
      </c>
      <c r="CD416" s="3"/>
      <c r="CE416" s="3"/>
      <c r="CF416" s="3"/>
    </row>
    <row r="417" spans="1:84" s="98" customFormat="1">
      <c r="A417" s="3" t="s">
        <v>586</v>
      </c>
      <c r="B417" s="3" t="s">
        <v>268</v>
      </c>
      <c r="C417" s="3"/>
      <c r="D417" s="93">
        <v>7.0110000000000001</v>
      </c>
      <c r="E417" s="94">
        <v>0.91149999999999998</v>
      </c>
      <c r="F417" s="94">
        <v>6.1999999999999998E-3</v>
      </c>
      <c r="G417" s="95">
        <v>30.81</v>
      </c>
      <c r="H417" s="96">
        <v>0.76</v>
      </c>
      <c r="I417" s="97">
        <v>0.24540999999999999</v>
      </c>
      <c r="J417" s="95">
        <v>5.3E-3</v>
      </c>
      <c r="K417" s="96">
        <v>0.31806000000000001</v>
      </c>
      <c r="M417" s="99">
        <v>1414.7</v>
      </c>
      <c r="N417" s="98">
        <v>27</v>
      </c>
      <c r="O417" s="99">
        <v>5107</v>
      </c>
      <c r="P417" s="98">
        <v>2.1</v>
      </c>
      <c r="Q417" s="98">
        <v>72.298000000000002</v>
      </c>
      <c r="R417" s="97">
        <v>0.73450000000000004</v>
      </c>
      <c r="T417" s="98">
        <v>407</v>
      </c>
      <c r="U417" s="98">
        <v>91</v>
      </c>
      <c r="V417" s="98">
        <v>432</v>
      </c>
      <c r="W417" s="98">
        <v>32</v>
      </c>
      <c r="X417" s="98">
        <v>514</v>
      </c>
      <c r="Y417" s="98">
        <v>42</v>
      </c>
      <c r="Z417" s="98">
        <v>456</v>
      </c>
      <c r="AA417" s="98">
        <v>42</v>
      </c>
      <c r="AB417" s="98">
        <v>436</v>
      </c>
      <c r="AC417" s="98">
        <v>34</v>
      </c>
      <c r="AD417" s="98">
        <v>453</v>
      </c>
      <c r="AE417" s="98">
        <v>52</v>
      </c>
      <c r="AF417" s="95">
        <v>432</v>
      </c>
      <c r="AG417" s="98">
        <v>37</v>
      </c>
      <c r="AH417" s="96">
        <v>450</v>
      </c>
      <c r="AI417" s="96">
        <v>34</v>
      </c>
      <c r="AJ417" s="95">
        <v>438</v>
      </c>
      <c r="AK417" s="95">
        <v>35</v>
      </c>
      <c r="AL417" s="96">
        <v>411</v>
      </c>
      <c r="AM417" s="96">
        <v>34</v>
      </c>
      <c r="AN417" s="96">
        <v>441</v>
      </c>
      <c r="AO417" s="96">
        <v>40</v>
      </c>
      <c r="AP417" s="96">
        <v>448</v>
      </c>
      <c r="AQ417" s="96">
        <v>37</v>
      </c>
      <c r="AR417" s="96">
        <v>440</v>
      </c>
      <c r="AS417" s="93">
        <v>34</v>
      </c>
      <c r="AT417" s="96">
        <v>419</v>
      </c>
      <c r="AU417" s="96">
        <v>36</v>
      </c>
      <c r="AV417" s="99">
        <v>423</v>
      </c>
      <c r="AW417" s="98">
        <v>33</v>
      </c>
      <c r="AX417" s="98">
        <v>433</v>
      </c>
      <c r="AY417" s="98">
        <v>35</v>
      </c>
      <c r="AZ417" s="98">
        <v>448</v>
      </c>
      <c r="BA417" s="98">
        <v>38</v>
      </c>
      <c r="BB417" s="98">
        <v>426</v>
      </c>
      <c r="BC417" s="98">
        <v>40</v>
      </c>
      <c r="BD417" s="98">
        <v>443</v>
      </c>
      <c r="BE417" s="98">
        <v>49</v>
      </c>
      <c r="BF417" s="98">
        <v>424</v>
      </c>
      <c r="BG417" s="98">
        <v>35</v>
      </c>
      <c r="BI417" s="98">
        <v>450</v>
      </c>
      <c r="BJ417" s="98">
        <v>35</v>
      </c>
      <c r="BK417" s="98">
        <v>448</v>
      </c>
      <c r="BL417" s="98">
        <v>62</v>
      </c>
      <c r="BM417" s="98">
        <v>429</v>
      </c>
      <c r="BN417" s="98">
        <v>57</v>
      </c>
      <c r="BO417" s="99">
        <v>448</v>
      </c>
      <c r="BP417" s="98">
        <v>32</v>
      </c>
      <c r="BQ417" s="99">
        <v>450</v>
      </c>
      <c r="BR417" s="98">
        <v>32</v>
      </c>
      <c r="CD417" s="3"/>
      <c r="CE417" s="3"/>
      <c r="CF417" s="3"/>
    </row>
    <row r="418" spans="1:84" s="98" customFormat="1">
      <c r="A418" s="3" t="s">
        <v>587</v>
      </c>
      <c r="B418" s="3" t="s">
        <v>268</v>
      </c>
      <c r="C418" s="3"/>
      <c r="D418" s="93">
        <v>7.0259999999999998</v>
      </c>
      <c r="E418" s="94">
        <v>0.91059999999999997</v>
      </c>
      <c r="F418" s="94">
        <v>6.1999999999999998E-3</v>
      </c>
      <c r="G418" s="95">
        <v>30.84</v>
      </c>
      <c r="H418" s="96">
        <v>0.76</v>
      </c>
      <c r="I418" s="97">
        <v>0.24592</v>
      </c>
      <c r="J418" s="95">
        <v>5.3E-3</v>
      </c>
      <c r="K418" s="96">
        <v>0.11638999999999999</v>
      </c>
      <c r="M418" s="99">
        <v>1417.4</v>
      </c>
      <c r="N418" s="98">
        <v>27</v>
      </c>
      <c r="O418" s="99">
        <v>5106.3</v>
      </c>
      <c r="P418" s="98">
        <v>2.5</v>
      </c>
      <c r="Q418" s="98">
        <v>72.242000000000004</v>
      </c>
      <c r="R418" s="97">
        <v>0.73309999999999997</v>
      </c>
      <c r="T418" s="98">
        <v>450</v>
      </c>
      <c r="U418" s="98">
        <v>120</v>
      </c>
      <c r="V418" s="98">
        <v>467</v>
      </c>
      <c r="W418" s="98">
        <v>34</v>
      </c>
      <c r="X418" s="98">
        <v>510</v>
      </c>
      <c r="Y418" s="98">
        <v>41</v>
      </c>
      <c r="Z418" s="98">
        <v>481</v>
      </c>
      <c r="AA418" s="98">
        <v>32</v>
      </c>
      <c r="AB418" s="98">
        <v>464</v>
      </c>
      <c r="AC418" s="98">
        <v>29</v>
      </c>
      <c r="AD418" s="98">
        <v>456</v>
      </c>
      <c r="AE418" s="98">
        <v>47</v>
      </c>
      <c r="AF418" s="95">
        <v>453</v>
      </c>
      <c r="AG418" s="98">
        <v>24</v>
      </c>
      <c r="AH418" s="96">
        <v>469</v>
      </c>
      <c r="AI418" s="96">
        <v>27</v>
      </c>
      <c r="AJ418" s="95">
        <v>463</v>
      </c>
      <c r="AK418" s="95">
        <v>28</v>
      </c>
      <c r="AL418" s="96">
        <v>453</v>
      </c>
      <c r="AM418" s="96">
        <v>26</v>
      </c>
      <c r="AN418" s="96">
        <v>464</v>
      </c>
      <c r="AO418" s="96">
        <v>25</v>
      </c>
      <c r="AP418" s="96">
        <v>444</v>
      </c>
      <c r="AQ418" s="96">
        <v>26</v>
      </c>
      <c r="AR418" s="96">
        <v>481</v>
      </c>
      <c r="AS418" s="93">
        <v>34</v>
      </c>
      <c r="AT418" s="96">
        <v>448</v>
      </c>
      <c r="AU418" s="96">
        <v>34</v>
      </c>
      <c r="AV418" s="99">
        <v>451</v>
      </c>
      <c r="AW418" s="98">
        <v>32</v>
      </c>
      <c r="AX418" s="98">
        <v>451</v>
      </c>
      <c r="AY418" s="98">
        <v>29</v>
      </c>
      <c r="AZ418" s="98">
        <v>476</v>
      </c>
      <c r="BA418" s="98">
        <v>30</v>
      </c>
      <c r="BB418" s="98">
        <v>448</v>
      </c>
      <c r="BC418" s="98">
        <v>27</v>
      </c>
      <c r="BD418" s="98">
        <v>454</v>
      </c>
      <c r="BE418" s="98">
        <v>34</v>
      </c>
      <c r="BF418" s="98">
        <v>450</v>
      </c>
      <c r="BG418" s="98">
        <v>25</v>
      </c>
      <c r="BI418" s="98">
        <v>484</v>
      </c>
      <c r="BJ418" s="98">
        <v>36</v>
      </c>
      <c r="BK418" s="98">
        <v>466</v>
      </c>
      <c r="BL418" s="98">
        <v>65</v>
      </c>
      <c r="BM418" s="98">
        <v>476</v>
      </c>
      <c r="BN418" s="98">
        <v>30</v>
      </c>
      <c r="BO418" s="99">
        <v>469</v>
      </c>
      <c r="BP418" s="98">
        <v>29</v>
      </c>
      <c r="BQ418" s="99">
        <v>473</v>
      </c>
      <c r="BR418" s="98">
        <v>30</v>
      </c>
      <c r="CD418" s="3"/>
      <c r="CE418" s="3"/>
      <c r="CF418" s="3"/>
    </row>
    <row r="419" spans="1:84" s="98" customFormat="1">
      <c r="A419" s="3" t="s">
        <v>588</v>
      </c>
      <c r="B419" s="3" t="s">
        <v>268</v>
      </c>
      <c r="C419" s="3"/>
      <c r="D419" s="93">
        <v>7.3109999999999999</v>
      </c>
      <c r="E419" s="94">
        <v>0.91149999999999998</v>
      </c>
      <c r="F419" s="94">
        <v>6.0000000000000001E-3</v>
      </c>
      <c r="G419" s="95">
        <v>30.75</v>
      </c>
      <c r="H419" s="96">
        <v>0.76</v>
      </c>
      <c r="I419" s="97">
        <v>0.24492</v>
      </c>
      <c r="J419" s="95">
        <v>5.1999999999999998E-3</v>
      </c>
      <c r="K419" s="96">
        <v>0.4204</v>
      </c>
      <c r="M419" s="99">
        <v>1412.2</v>
      </c>
      <c r="N419" s="98">
        <v>27</v>
      </c>
      <c r="O419" s="99">
        <v>5106.3999999999996</v>
      </c>
      <c r="P419" s="98">
        <v>2</v>
      </c>
      <c r="Q419" s="98">
        <v>72.343999999999994</v>
      </c>
      <c r="R419" s="97">
        <v>0.73450000000000004</v>
      </c>
      <c r="T419" s="98">
        <v>380</v>
      </c>
      <c r="U419" s="98">
        <v>120</v>
      </c>
      <c r="V419" s="98">
        <v>447</v>
      </c>
      <c r="W419" s="98">
        <v>24</v>
      </c>
      <c r="X419" s="98">
        <v>520</v>
      </c>
      <c r="Y419" s="98">
        <v>43</v>
      </c>
      <c r="Z419" s="98">
        <v>456</v>
      </c>
      <c r="AA419" s="98">
        <v>32</v>
      </c>
      <c r="AB419" s="98">
        <v>435</v>
      </c>
      <c r="AC419" s="98">
        <v>30</v>
      </c>
      <c r="AD419" s="98">
        <v>467</v>
      </c>
      <c r="AE419" s="98">
        <v>38</v>
      </c>
      <c r="AF419" s="95">
        <v>431</v>
      </c>
      <c r="AG419" s="98">
        <v>19</v>
      </c>
      <c r="AH419" s="96">
        <v>432</v>
      </c>
      <c r="AI419" s="96">
        <v>27</v>
      </c>
      <c r="AJ419" s="95">
        <v>439</v>
      </c>
      <c r="AK419" s="95">
        <v>23</v>
      </c>
      <c r="AL419" s="96">
        <v>421</v>
      </c>
      <c r="AM419" s="96">
        <v>19</v>
      </c>
      <c r="AN419" s="96">
        <v>443</v>
      </c>
      <c r="AO419" s="96">
        <v>25</v>
      </c>
      <c r="AP419" s="96">
        <v>454</v>
      </c>
      <c r="AQ419" s="96">
        <v>32</v>
      </c>
      <c r="AR419" s="96">
        <v>428</v>
      </c>
      <c r="AS419" s="93">
        <v>34</v>
      </c>
      <c r="AT419" s="96">
        <v>430</v>
      </c>
      <c r="AU419" s="96">
        <v>26</v>
      </c>
      <c r="AV419" s="99">
        <v>430</v>
      </c>
      <c r="AW419" s="98">
        <v>34</v>
      </c>
      <c r="AX419" s="98">
        <v>453</v>
      </c>
      <c r="AY419" s="98">
        <v>31</v>
      </c>
      <c r="AZ419" s="98">
        <v>431</v>
      </c>
      <c r="BA419" s="98">
        <v>25</v>
      </c>
      <c r="BB419" s="98">
        <v>438</v>
      </c>
      <c r="BC419" s="98">
        <v>22</v>
      </c>
      <c r="BD419" s="98">
        <v>447</v>
      </c>
      <c r="BE419" s="98">
        <v>29</v>
      </c>
      <c r="BF419" s="98">
        <v>438</v>
      </c>
      <c r="BG419" s="98">
        <v>26</v>
      </c>
      <c r="BI419" s="98">
        <v>445</v>
      </c>
      <c r="BJ419" s="98">
        <v>31</v>
      </c>
      <c r="BK419" s="98">
        <v>452</v>
      </c>
      <c r="BL419" s="98">
        <v>45</v>
      </c>
      <c r="BM419" s="98">
        <v>405</v>
      </c>
      <c r="BN419" s="98">
        <v>26</v>
      </c>
      <c r="BO419" s="99">
        <v>452</v>
      </c>
      <c r="BP419" s="98">
        <v>20</v>
      </c>
      <c r="BQ419" s="99">
        <v>455</v>
      </c>
      <c r="BR419" s="98">
        <v>21</v>
      </c>
      <c r="CD419" s="3"/>
      <c r="CE419" s="3"/>
      <c r="CF419" s="3"/>
    </row>
    <row r="420" spans="1:84" s="98" customFormat="1">
      <c r="A420" s="3"/>
      <c r="B420" s="3"/>
      <c r="C420" s="3"/>
      <c r="D420" s="93"/>
      <c r="E420" s="94"/>
      <c r="F420" s="94"/>
      <c r="G420" s="95"/>
      <c r="H420" s="96"/>
      <c r="I420" s="97"/>
      <c r="J420" s="95"/>
      <c r="K420" s="96"/>
      <c r="M420" s="99"/>
      <c r="O420" s="99"/>
      <c r="R420" s="97"/>
      <c r="AF420" s="95"/>
      <c r="AH420" s="96"/>
      <c r="AI420" s="96"/>
      <c r="AJ420" s="95"/>
      <c r="AK420" s="95"/>
      <c r="AL420" s="96"/>
      <c r="AM420" s="96"/>
      <c r="AN420" s="96"/>
      <c r="AO420" s="96"/>
      <c r="AP420" s="96"/>
      <c r="AQ420" s="96"/>
      <c r="AR420" s="96"/>
      <c r="AS420" s="93"/>
      <c r="AT420" s="96"/>
      <c r="AU420" s="96"/>
      <c r="AV420" s="99"/>
      <c r="BI420" s="93"/>
      <c r="BO420" s="99"/>
      <c r="BQ420" s="99"/>
      <c r="CD420" s="3"/>
      <c r="CE420" s="3"/>
      <c r="CF420" s="3"/>
    </row>
    <row r="421" spans="1:84" s="98" customFormat="1">
      <c r="A421" s="3" t="s">
        <v>589</v>
      </c>
      <c r="B421" s="92" t="s">
        <v>244</v>
      </c>
      <c r="C421" s="3"/>
      <c r="D421" s="93">
        <v>11.057</v>
      </c>
      <c r="E421" s="94">
        <v>0.90980000000000005</v>
      </c>
      <c r="F421" s="94">
        <v>8.8999999999999999E-3</v>
      </c>
      <c r="G421" s="95">
        <v>35.049999999999997</v>
      </c>
      <c r="H421" s="96">
        <v>1.1000000000000001</v>
      </c>
      <c r="I421" s="97">
        <v>0.27929999999999999</v>
      </c>
      <c r="J421" s="95">
        <v>8.0000000000000002E-3</v>
      </c>
      <c r="K421" s="96">
        <v>0.53488000000000002</v>
      </c>
      <c r="M421" s="99">
        <v>1588</v>
      </c>
      <c r="N421" s="98">
        <v>40</v>
      </c>
      <c r="O421" s="99" t="s">
        <v>480</v>
      </c>
      <c r="P421" s="98" t="s">
        <v>481</v>
      </c>
      <c r="Q421" s="98" t="s">
        <v>480</v>
      </c>
      <c r="R421" s="97" t="s">
        <v>480</v>
      </c>
      <c r="T421" s="98" t="s">
        <v>250</v>
      </c>
      <c r="U421" s="98" t="s">
        <v>250</v>
      </c>
      <c r="V421" s="98">
        <v>41.3</v>
      </c>
      <c r="W421" s="98">
        <v>7</v>
      </c>
      <c r="X421" s="98">
        <v>81.5</v>
      </c>
      <c r="Y421" s="98">
        <v>9.1</v>
      </c>
      <c r="Z421" s="98">
        <v>40</v>
      </c>
      <c r="AA421" s="98">
        <v>4.4000000000000004</v>
      </c>
      <c r="AB421" s="98">
        <v>39</v>
      </c>
      <c r="AC421" s="98">
        <v>6.7</v>
      </c>
      <c r="AD421" s="98">
        <v>45.5</v>
      </c>
      <c r="AE421" s="98">
        <v>7.1</v>
      </c>
      <c r="AF421" s="95">
        <v>37.4</v>
      </c>
      <c r="AG421" s="98">
        <v>3.4</v>
      </c>
      <c r="AH421" s="96">
        <v>39.4</v>
      </c>
      <c r="AI421" s="96">
        <v>4.0999999999999996</v>
      </c>
      <c r="AJ421" s="95">
        <v>38.6</v>
      </c>
      <c r="AK421" s="95">
        <v>2.8</v>
      </c>
      <c r="AL421" s="96">
        <v>36.9</v>
      </c>
      <c r="AM421" s="96">
        <v>4.7</v>
      </c>
      <c r="AN421" s="96">
        <v>42.1</v>
      </c>
      <c r="AO421" s="96">
        <v>6.7</v>
      </c>
      <c r="AP421" s="96">
        <v>37.6</v>
      </c>
      <c r="AQ421" s="96">
        <v>5</v>
      </c>
      <c r="AR421" s="96">
        <v>34.700000000000003</v>
      </c>
      <c r="AS421" s="93">
        <v>5.9</v>
      </c>
      <c r="AT421" s="96">
        <v>38.6</v>
      </c>
      <c r="AU421" s="96">
        <v>3.5</v>
      </c>
      <c r="AV421" s="99">
        <v>36.4</v>
      </c>
      <c r="AW421" s="98">
        <v>4.2</v>
      </c>
      <c r="AX421" s="98">
        <v>38.5</v>
      </c>
      <c r="AY421" s="98">
        <v>4.4000000000000004</v>
      </c>
      <c r="AZ421" s="98">
        <v>39.4</v>
      </c>
      <c r="BA421" s="98">
        <v>4.7</v>
      </c>
      <c r="BB421" s="98">
        <v>34.4</v>
      </c>
      <c r="BC421" s="98">
        <v>5</v>
      </c>
      <c r="BD421" s="98">
        <v>37.4</v>
      </c>
      <c r="BE421" s="98">
        <v>8.1</v>
      </c>
      <c r="BF421" s="98">
        <v>37.4</v>
      </c>
      <c r="BG421" s="98">
        <v>5.3</v>
      </c>
      <c r="BI421" s="93">
        <v>41.4</v>
      </c>
      <c r="BJ421" s="98">
        <v>6.7</v>
      </c>
      <c r="BK421" s="98">
        <v>38</v>
      </c>
      <c r="BL421" s="98">
        <v>14</v>
      </c>
      <c r="BM421" s="98">
        <v>39</v>
      </c>
      <c r="BN421" s="98">
        <v>8</v>
      </c>
      <c r="BO421" s="99">
        <v>39.700000000000003</v>
      </c>
      <c r="BP421" s="98">
        <v>3.2</v>
      </c>
      <c r="BQ421" s="99">
        <v>39.9</v>
      </c>
      <c r="BR421" s="98">
        <v>3.1</v>
      </c>
      <c r="CD421" s="3"/>
      <c r="CE421" s="3"/>
      <c r="CF421" s="3"/>
    </row>
    <row r="422" spans="1:84" s="98" customFormat="1">
      <c r="A422" s="3" t="s">
        <v>590</v>
      </c>
      <c r="B422" s="92" t="s">
        <v>244</v>
      </c>
      <c r="C422" s="3"/>
      <c r="D422" s="93">
        <v>11.016999999999999</v>
      </c>
      <c r="E422" s="94">
        <v>0.91049999999999998</v>
      </c>
      <c r="F422" s="94">
        <v>0.01</v>
      </c>
      <c r="G422" s="95">
        <v>34.72</v>
      </c>
      <c r="H422" s="96">
        <v>1</v>
      </c>
      <c r="I422" s="97">
        <v>0.2777</v>
      </c>
      <c r="J422" s="95">
        <v>8.2000000000000007E-3</v>
      </c>
      <c r="K422" s="96">
        <v>0.50288999999999995</v>
      </c>
      <c r="M422" s="99">
        <v>1580</v>
      </c>
      <c r="N422" s="98">
        <v>41</v>
      </c>
      <c r="O422" s="99" t="s">
        <v>480</v>
      </c>
      <c r="P422" s="98" t="s">
        <v>481</v>
      </c>
      <c r="Q422" s="98" t="s">
        <v>480</v>
      </c>
      <c r="R422" s="97" t="s">
        <v>480</v>
      </c>
      <c r="T422" s="98">
        <v>50</v>
      </c>
      <c r="U422" s="98">
        <v>250</v>
      </c>
      <c r="V422" s="98">
        <v>41.4</v>
      </c>
      <c r="W422" s="98">
        <v>7.6</v>
      </c>
      <c r="X422" s="98">
        <v>79.8</v>
      </c>
      <c r="Y422" s="98">
        <v>7.4</v>
      </c>
      <c r="Z422" s="98">
        <v>40.200000000000003</v>
      </c>
      <c r="AA422" s="98">
        <v>5</v>
      </c>
      <c r="AB422" s="98">
        <v>37.1</v>
      </c>
      <c r="AC422" s="98">
        <v>5.4</v>
      </c>
      <c r="AD422" s="98">
        <v>40.1</v>
      </c>
      <c r="AE422" s="98">
        <v>7</v>
      </c>
      <c r="AF422" s="95">
        <v>39</v>
      </c>
      <c r="AG422" s="98">
        <v>2</v>
      </c>
      <c r="AH422" s="96">
        <v>36.1</v>
      </c>
      <c r="AI422" s="96">
        <v>4.9000000000000004</v>
      </c>
      <c r="AJ422" s="95">
        <v>39.4</v>
      </c>
      <c r="AK422" s="95">
        <v>2.8</v>
      </c>
      <c r="AL422" s="96">
        <v>40.700000000000003</v>
      </c>
      <c r="AM422" s="96">
        <v>5.5</v>
      </c>
      <c r="AN422" s="96">
        <v>38.1</v>
      </c>
      <c r="AO422" s="96">
        <v>4.0999999999999996</v>
      </c>
      <c r="AP422" s="96">
        <v>36.1</v>
      </c>
      <c r="AQ422" s="96">
        <v>3.4</v>
      </c>
      <c r="AR422" s="96">
        <v>36.299999999999997</v>
      </c>
      <c r="AS422" s="93">
        <v>5.7</v>
      </c>
      <c r="AT422" s="96">
        <v>36.799999999999997</v>
      </c>
      <c r="AU422" s="96">
        <v>3.8</v>
      </c>
      <c r="AV422" s="99">
        <v>34.299999999999997</v>
      </c>
      <c r="AW422" s="98">
        <v>5.3</v>
      </c>
      <c r="AX422" s="98">
        <v>37.6</v>
      </c>
      <c r="AY422" s="98">
        <v>3.1</v>
      </c>
      <c r="AZ422" s="98">
        <v>39.6</v>
      </c>
      <c r="BA422" s="98">
        <v>3.4</v>
      </c>
      <c r="BB422" s="98">
        <v>39.1</v>
      </c>
      <c r="BC422" s="98">
        <v>4.5</v>
      </c>
      <c r="BD422" s="98">
        <v>43.8</v>
      </c>
      <c r="BE422" s="98">
        <v>5.4</v>
      </c>
      <c r="BF422" s="98">
        <v>35.700000000000003</v>
      </c>
      <c r="BG422" s="98">
        <v>3.9</v>
      </c>
      <c r="BI422" s="93">
        <v>38.5</v>
      </c>
      <c r="BJ422" s="98">
        <v>5.8</v>
      </c>
      <c r="BK422" s="98">
        <v>40</v>
      </c>
      <c r="BL422" s="98">
        <v>11</v>
      </c>
      <c r="BM422" s="98">
        <v>34.799999999999997</v>
      </c>
      <c r="BN422" s="98">
        <v>7.8</v>
      </c>
      <c r="BO422" s="99">
        <v>37.6</v>
      </c>
      <c r="BP422" s="98">
        <v>2.1</v>
      </c>
      <c r="BQ422" s="99">
        <v>37.799999999999997</v>
      </c>
      <c r="BR422" s="98">
        <v>2.1</v>
      </c>
      <c r="CD422" s="3"/>
      <c r="CE422" s="3"/>
      <c r="CF422" s="3"/>
    </row>
    <row r="423" spans="1:84" s="98" customFormat="1">
      <c r="A423" s="3" t="s">
        <v>591</v>
      </c>
      <c r="B423" s="92" t="s">
        <v>244</v>
      </c>
      <c r="C423" s="3"/>
      <c r="D423" s="93">
        <v>11.038</v>
      </c>
      <c r="E423" s="94">
        <v>0.91300000000000003</v>
      </c>
      <c r="F423" s="94">
        <v>1.0999999999999999E-2</v>
      </c>
      <c r="G423" s="95">
        <v>34.51</v>
      </c>
      <c r="H423" s="96">
        <v>1</v>
      </c>
      <c r="I423" s="97">
        <v>0.27610000000000001</v>
      </c>
      <c r="J423" s="95">
        <v>7.7999999999999996E-3</v>
      </c>
      <c r="K423" s="96">
        <v>0.29137999999999997</v>
      </c>
      <c r="M423" s="99">
        <v>1572</v>
      </c>
      <c r="N423" s="98">
        <v>40</v>
      </c>
      <c r="O423" s="99" t="s">
        <v>480</v>
      </c>
      <c r="P423" s="98" t="s">
        <v>481</v>
      </c>
      <c r="Q423" s="98" t="s">
        <v>480</v>
      </c>
      <c r="R423" s="97" t="s">
        <v>480</v>
      </c>
      <c r="T423" s="98" t="s">
        <v>250</v>
      </c>
      <c r="U423" s="98" t="s">
        <v>250</v>
      </c>
      <c r="V423" s="98">
        <v>36.1</v>
      </c>
      <c r="W423" s="98">
        <v>4.0999999999999996</v>
      </c>
      <c r="X423" s="98">
        <v>76</v>
      </c>
      <c r="Y423" s="98">
        <v>9.1999999999999993</v>
      </c>
      <c r="Z423" s="98">
        <v>36.4</v>
      </c>
      <c r="AA423" s="98">
        <v>5.6</v>
      </c>
      <c r="AB423" s="98">
        <v>38.6</v>
      </c>
      <c r="AC423" s="98">
        <v>4</v>
      </c>
      <c r="AD423" s="98">
        <v>37.6</v>
      </c>
      <c r="AE423" s="98">
        <v>5.9</v>
      </c>
      <c r="AF423" s="95">
        <v>35.5</v>
      </c>
      <c r="AG423" s="98">
        <v>3</v>
      </c>
      <c r="AH423" s="96">
        <v>38</v>
      </c>
      <c r="AI423" s="96">
        <v>5.7</v>
      </c>
      <c r="AJ423" s="95">
        <v>36.299999999999997</v>
      </c>
      <c r="AK423" s="95">
        <v>2.6</v>
      </c>
      <c r="AL423" s="96">
        <v>35.4</v>
      </c>
      <c r="AM423" s="96">
        <v>6.4</v>
      </c>
      <c r="AN423" s="96">
        <v>35.6</v>
      </c>
      <c r="AO423" s="96">
        <v>3.7</v>
      </c>
      <c r="AP423" s="96">
        <v>32.200000000000003</v>
      </c>
      <c r="AQ423" s="96">
        <v>3</v>
      </c>
      <c r="AR423" s="96">
        <v>40.5</v>
      </c>
      <c r="AS423" s="93">
        <v>5.9</v>
      </c>
      <c r="AT423" s="96">
        <v>36.700000000000003</v>
      </c>
      <c r="AU423" s="96">
        <v>2.7</v>
      </c>
      <c r="AV423" s="99">
        <v>32.9</v>
      </c>
      <c r="AW423" s="98">
        <v>3.7</v>
      </c>
      <c r="AX423" s="98">
        <v>36.5</v>
      </c>
      <c r="AY423" s="98">
        <v>3.2</v>
      </c>
      <c r="AZ423" s="98">
        <v>36.200000000000003</v>
      </c>
      <c r="BA423" s="98">
        <v>4.0999999999999996</v>
      </c>
      <c r="BB423" s="98">
        <v>37.799999999999997</v>
      </c>
      <c r="BC423" s="98">
        <v>5.0999999999999996</v>
      </c>
      <c r="BD423" s="98">
        <v>36.1</v>
      </c>
      <c r="BE423" s="98">
        <v>5.6</v>
      </c>
      <c r="BF423" s="98">
        <v>36.6</v>
      </c>
      <c r="BG423" s="98">
        <v>4.7</v>
      </c>
      <c r="BI423" s="93">
        <v>43.8</v>
      </c>
      <c r="BJ423" s="98">
        <v>6.8</v>
      </c>
      <c r="BK423" s="98">
        <v>40</v>
      </c>
      <c r="BL423" s="98">
        <v>13</v>
      </c>
      <c r="BM423" s="98">
        <v>42.2</v>
      </c>
      <c r="BN423" s="98">
        <v>6.7</v>
      </c>
      <c r="BO423" s="99">
        <v>37.6</v>
      </c>
      <c r="BP423" s="98">
        <v>3.1</v>
      </c>
      <c r="BQ423" s="99">
        <v>37.9</v>
      </c>
      <c r="BR423" s="98">
        <v>3</v>
      </c>
      <c r="CD423" s="3"/>
      <c r="CE423" s="3"/>
      <c r="CF423" s="3"/>
    </row>
    <row r="424" spans="1:84" s="98" customFormat="1">
      <c r="A424" s="3" t="s">
        <v>592</v>
      </c>
      <c r="B424" s="92" t="s">
        <v>244</v>
      </c>
      <c r="C424" s="3"/>
      <c r="D424" s="93">
        <v>11.032</v>
      </c>
      <c r="E424" s="94">
        <v>0.90129999999999999</v>
      </c>
      <c r="F424" s="94">
        <v>6.8999999999999999E-3</v>
      </c>
      <c r="G424" s="95">
        <v>34.46</v>
      </c>
      <c r="H424" s="96">
        <v>1</v>
      </c>
      <c r="I424" s="97">
        <v>0.27929999999999999</v>
      </c>
      <c r="J424" s="95">
        <v>7.9000000000000008E-3</v>
      </c>
      <c r="K424" s="96">
        <v>0.66718999999999995</v>
      </c>
      <c r="M424" s="99">
        <v>1588</v>
      </c>
      <c r="N424" s="98">
        <v>40</v>
      </c>
      <c r="O424" s="99" t="s">
        <v>480</v>
      </c>
      <c r="P424" s="98" t="s">
        <v>481</v>
      </c>
      <c r="Q424" s="98" t="s">
        <v>480</v>
      </c>
      <c r="R424" s="97" t="s">
        <v>480</v>
      </c>
      <c r="T424" s="98">
        <v>60</v>
      </c>
      <c r="U424" s="98">
        <v>180</v>
      </c>
      <c r="V424" s="98">
        <v>42</v>
      </c>
      <c r="W424" s="98">
        <v>6.1</v>
      </c>
      <c r="X424" s="98">
        <v>75</v>
      </c>
      <c r="Y424" s="98">
        <v>10</v>
      </c>
      <c r="Z424" s="98">
        <v>38.700000000000003</v>
      </c>
      <c r="AA424" s="98">
        <v>4.9000000000000004</v>
      </c>
      <c r="AB424" s="98">
        <v>36.9</v>
      </c>
      <c r="AC424" s="98">
        <v>4.9000000000000004</v>
      </c>
      <c r="AD424" s="98">
        <v>36</v>
      </c>
      <c r="AE424" s="98">
        <v>4.5999999999999996</v>
      </c>
      <c r="AF424" s="95">
        <v>35.200000000000003</v>
      </c>
      <c r="AG424" s="98">
        <v>3.3</v>
      </c>
      <c r="AH424" s="96">
        <v>37.700000000000003</v>
      </c>
      <c r="AI424" s="96">
        <v>5.4</v>
      </c>
      <c r="AJ424" s="95">
        <v>37</v>
      </c>
      <c r="AK424" s="95">
        <v>3.8</v>
      </c>
      <c r="AL424" s="96">
        <v>34.799999999999997</v>
      </c>
      <c r="AM424" s="96">
        <v>5</v>
      </c>
      <c r="AN424" s="96">
        <v>37</v>
      </c>
      <c r="AO424" s="96">
        <v>5.9</v>
      </c>
      <c r="AP424" s="96">
        <v>34.9</v>
      </c>
      <c r="AQ424" s="96">
        <v>3.5</v>
      </c>
      <c r="AR424" s="96">
        <v>37.200000000000003</v>
      </c>
      <c r="AS424" s="93">
        <v>7.4</v>
      </c>
      <c r="AT424" s="96">
        <v>35.5</v>
      </c>
      <c r="AU424" s="96">
        <v>4.8</v>
      </c>
      <c r="AV424" s="99">
        <v>32.299999999999997</v>
      </c>
      <c r="AW424" s="98">
        <v>5</v>
      </c>
      <c r="AX424" s="98">
        <v>38.299999999999997</v>
      </c>
      <c r="AY424" s="98">
        <v>5</v>
      </c>
      <c r="AZ424" s="98">
        <v>37</v>
      </c>
      <c r="BA424" s="98">
        <v>5.7</v>
      </c>
      <c r="BB424" s="98">
        <v>36.700000000000003</v>
      </c>
      <c r="BC424" s="98">
        <v>4.5999999999999996</v>
      </c>
      <c r="BD424" s="98">
        <v>43.3</v>
      </c>
      <c r="BE424" s="98">
        <v>7.5</v>
      </c>
      <c r="BF424" s="98">
        <v>34.1</v>
      </c>
      <c r="BG424" s="98">
        <v>4.3</v>
      </c>
      <c r="BI424" s="93">
        <v>35.299999999999997</v>
      </c>
      <c r="BJ424" s="98">
        <v>7.2</v>
      </c>
      <c r="BK424" s="98">
        <v>38</v>
      </c>
      <c r="BL424" s="98">
        <v>12</v>
      </c>
      <c r="BM424" s="98">
        <v>32.4</v>
      </c>
      <c r="BN424" s="98">
        <v>7.3</v>
      </c>
      <c r="BO424" s="99">
        <v>36.4</v>
      </c>
      <c r="BP424" s="98">
        <v>3.2</v>
      </c>
      <c r="BQ424" s="99">
        <v>37.1</v>
      </c>
      <c r="BR424" s="98">
        <v>3.2</v>
      </c>
      <c r="CD424" s="3"/>
      <c r="CE424" s="3"/>
      <c r="CF424" s="3"/>
    </row>
    <row r="425" spans="1:84" s="98" customFormat="1">
      <c r="A425" s="3" t="s">
        <v>593</v>
      </c>
      <c r="B425" s="92" t="s">
        <v>244</v>
      </c>
      <c r="C425" s="3"/>
      <c r="D425" s="93">
        <v>11.021000000000001</v>
      </c>
      <c r="E425" s="94">
        <v>0.9133</v>
      </c>
      <c r="F425" s="94">
        <v>9.1999999999999998E-3</v>
      </c>
      <c r="G425" s="95">
        <v>34.49</v>
      </c>
      <c r="H425" s="96">
        <v>1</v>
      </c>
      <c r="I425" s="97">
        <v>0.27560000000000001</v>
      </c>
      <c r="J425" s="95">
        <v>7.9000000000000008E-3</v>
      </c>
      <c r="K425" s="96">
        <v>0.50258000000000003</v>
      </c>
      <c r="M425" s="99">
        <v>1569</v>
      </c>
      <c r="N425" s="98">
        <v>40</v>
      </c>
      <c r="O425" s="99" t="s">
        <v>480</v>
      </c>
      <c r="P425" s="98" t="s">
        <v>481</v>
      </c>
      <c r="Q425" s="98" t="s">
        <v>480</v>
      </c>
      <c r="R425" s="97" t="s">
        <v>480</v>
      </c>
      <c r="T425" s="98" t="s">
        <v>250</v>
      </c>
      <c r="U425" s="98" t="s">
        <v>250</v>
      </c>
      <c r="V425" s="98">
        <v>39.6</v>
      </c>
      <c r="W425" s="98">
        <v>5.9</v>
      </c>
      <c r="X425" s="98">
        <v>75.8</v>
      </c>
      <c r="Y425" s="98">
        <v>7.5</v>
      </c>
      <c r="Z425" s="98">
        <v>36.700000000000003</v>
      </c>
      <c r="AA425" s="98">
        <v>5.2</v>
      </c>
      <c r="AB425" s="98">
        <v>34.6</v>
      </c>
      <c r="AC425" s="98">
        <v>4.5999999999999996</v>
      </c>
      <c r="AD425" s="98">
        <v>36.799999999999997</v>
      </c>
      <c r="AE425" s="98">
        <v>4.8</v>
      </c>
      <c r="AF425" s="95">
        <v>34</v>
      </c>
      <c r="AG425" s="98">
        <v>2.1</v>
      </c>
      <c r="AH425" s="96">
        <v>34</v>
      </c>
      <c r="AI425" s="96">
        <v>4</v>
      </c>
      <c r="AJ425" s="95">
        <v>36.799999999999997</v>
      </c>
      <c r="AK425" s="95">
        <v>2.4</v>
      </c>
      <c r="AL425" s="96">
        <v>36.700000000000003</v>
      </c>
      <c r="AM425" s="96">
        <v>4.2</v>
      </c>
      <c r="AN425" s="96">
        <v>36</v>
      </c>
      <c r="AO425" s="96">
        <v>4.0999999999999996</v>
      </c>
      <c r="AP425" s="96">
        <v>32.200000000000003</v>
      </c>
      <c r="AQ425" s="96">
        <v>3.7</v>
      </c>
      <c r="AR425" s="96">
        <v>34.4</v>
      </c>
      <c r="AS425" s="93">
        <v>6</v>
      </c>
      <c r="AT425" s="96">
        <v>35.700000000000003</v>
      </c>
      <c r="AU425" s="96">
        <v>3.2</v>
      </c>
      <c r="AV425" s="99">
        <v>34.1</v>
      </c>
      <c r="AW425" s="98">
        <v>3.8</v>
      </c>
      <c r="AX425" s="98">
        <v>34.1</v>
      </c>
      <c r="AY425" s="98">
        <v>2.8</v>
      </c>
      <c r="AZ425" s="98">
        <v>35.700000000000003</v>
      </c>
      <c r="BA425" s="98">
        <v>4.3</v>
      </c>
      <c r="BB425" s="98">
        <v>36.5</v>
      </c>
      <c r="BC425" s="98">
        <v>3.6</v>
      </c>
      <c r="BD425" s="98">
        <v>35</v>
      </c>
      <c r="BE425" s="98">
        <v>5.0999999999999996</v>
      </c>
      <c r="BF425" s="98">
        <v>36.299999999999997</v>
      </c>
      <c r="BG425" s="98">
        <v>4.2</v>
      </c>
      <c r="BI425" s="93">
        <v>37.299999999999997</v>
      </c>
      <c r="BJ425" s="98">
        <v>7.2</v>
      </c>
      <c r="BK425" s="98">
        <v>41</v>
      </c>
      <c r="BL425" s="98">
        <v>16</v>
      </c>
      <c r="BM425" s="98">
        <v>38.1</v>
      </c>
      <c r="BN425" s="98">
        <v>5.6</v>
      </c>
      <c r="BO425" s="99">
        <v>35.6</v>
      </c>
      <c r="BP425" s="98">
        <v>2.1</v>
      </c>
      <c r="BQ425" s="99">
        <v>35.799999999999997</v>
      </c>
      <c r="BR425" s="98">
        <v>2.1</v>
      </c>
      <c r="CD425" s="3"/>
      <c r="CE425" s="3"/>
      <c r="CF425" s="3"/>
    </row>
    <row r="426" spans="1:84" s="98" customFormat="1">
      <c r="A426" s="3" t="s">
        <v>594</v>
      </c>
      <c r="B426" s="92" t="s">
        <v>244</v>
      </c>
      <c r="C426" s="3"/>
      <c r="D426" s="93">
        <v>11.01</v>
      </c>
      <c r="E426" s="94">
        <v>0.91679999999999995</v>
      </c>
      <c r="F426" s="94">
        <v>7.6E-3</v>
      </c>
      <c r="G426" s="95">
        <v>35.1</v>
      </c>
      <c r="H426" s="96">
        <v>1.1000000000000001</v>
      </c>
      <c r="I426" s="97">
        <v>0.2782</v>
      </c>
      <c r="J426" s="95">
        <v>8.0000000000000002E-3</v>
      </c>
      <c r="K426" s="96">
        <v>0.62873000000000001</v>
      </c>
      <c r="M426" s="99">
        <v>1582</v>
      </c>
      <c r="N426" s="98">
        <v>40</v>
      </c>
      <c r="O426" s="99" t="s">
        <v>480</v>
      </c>
      <c r="P426" s="98" t="s">
        <v>481</v>
      </c>
      <c r="Q426" s="98" t="s">
        <v>480</v>
      </c>
      <c r="R426" s="97" t="s">
        <v>480</v>
      </c>
      <c r="T426" s="98">
        <v>80</v>
      </c>
      <c r="U426" s="98">
        <v>150</v>
      </c>
      <c r="V426" s="98">
        <v>41.4</v>
      </c>
      <c r="W426" s="98">
        <v>5</v>
      </c>
      <c r="X426" s="98">
        <v>77.8</v>
      </c>
      <c r="Y426" s="98">
        <v>6.5</v>
      </c>
      <c r="Z426" s="98">
        <v>37.4</v>
      </c>
      <c r="AA426" s="98">
        <v>5.3</v>
      </c>
      <c r="AB426" s="98">
        <v>34.200000000000003</v>
      </c>
      <c r="AC426" s="98">
        <v>3.6</v>
      </c>
      <c r="AD426" s="98">
        <v>37.299999999999997</v>
      </c>
      <c r="AE426" s="98">
        <v>5.7</v>
      </c>
      <c r="AF426" s="95">
        <v>35.9</v>
      </c>
      <c r="AG426" s="98">
        <v>1.5</v>
      </c>
      <c r="AH426" s="96">
        <v>37.9</v>
      </c>
      <c r="AI426" s="96">
        <v>3.9</v>
      </c>
      <c r="AJ426" s="95">
        <v>35.9</v>
      </c>
      <c r="AK426" s="95">
        <v>1.6</v>
      </c>
      <c r="AL426" s="96">
        <v>36.299999999999997</v>
      </c>
      <c r="AM426" s="96">
        <v>3.8</v>
      </c>
      <c r="AN426" s="96">
        <v>35.1</v>
      </c>
      <c r="AO426" s="96">
        <v>5.5</v>
      </c>
      <c r="AP426" s="96">
        <v>36.299999999999997</v>
      </c>
      <c r="AQ426" s="96">
        <v>3</v>
      </c>
      <c r="AR426" s="96">
        <v>35.9</v>
      </c>
      <c r="AS426" s="93">
        <v>5.4</v>
      </c>
      <c r="AT426" s="96">
        <v>38.200000000000003</v>
      </c>
      <c r="AU426" s="96">
        <v>3.6</v>
      </c>
      <c r="AV426" s="99">
        <v>30.8</v>
      </c>
      <c r="AW426" s="98">
        <v>4</v>
      </c>
      <c r="AX426" s="98">
        <v>38.4</v>
      </c>
      <c r="AY426" s="98">
        <v>2.8</v>
      </c>
      <c r="AZ426" s="98">
        <v>37.9</v>
      </c>
      <c r="BA426" s="98">
        <v>3.5</v>
      </c>
      <c r="BB426" s="98">
        <v>37</v>
      </c>
      <c r="BC426" s="98">
        <v>2.6</v>
      </c>
      <c r="BD426" s="98">
        <v>38.4</v>
      </c>
      <c r="BE426" s="98">
        <v>5.6</v>
      </c>
      <c r="BF426" s="98">
        <v>35.5</v>
      </c>
      <c r="BG426" s="98">
        <v>2.8</v>
      </c>
      <c r="BI426" s="93">
        <v>36.5</v>
      </c>
      <c r="BJ426" s="98">
        <v>7.2</v>
      </c>
      <c r="BK426" s="98">
        <v>42</v>
      </c>
      <c r="BL426" s="98">
        <v>16</v>
      </c>
      <c r="BM426" s="98">
        <v>36.4</v>
      </c>
      <c r="BN426" s="98">
        <v>7.8</v>
      </c>
      <c r="BO426" s="99">
        <v>37</v>
      </c>
      <c r="BP426" s="98">
        <v>2</v>
      </c>
      <c r="BQ426" s="99">
        <v>37.1</v>
      </c>
      <c r="BR426" s="98">
        <v>1.9</v>
      </c>
      <c r="CD426" s="3"/>
      <c r="CE426" s="3"/>
      <c r="CF426" s="3"/>
    </row>
    <row r="427" spans="1:84" s="98" customFormat="1">
      <c r="A427" s="3" t="s">
        <v>595</v>
      </c>
      <c r="B427" s="92" t="s">
        <v>244</v>
      </c>
      <c r="C427" s="3"/>
      <c r="D427" s="93">
        <v>11.061</v>
      </c>
      <c r="E427" s="94">
        <v>0.91180000000000005</v>
      </c>
      <c r="F427" s="94">
        <v>7.6E-3</v>
      </c>
      <c r="G427" s="95">
        <v>35.17</v>
      </c>
      <c r="H427" s="96">
        <v>1.1000000000000001</v>
      </c>
      <c r="I427" s="97">
        <v>0.28120000000000001</v>
      </c>
      <c r="J427" s="95">
        <v>8.0000000000000002E-3</v>
      </c>
      <c r="K427" s="96">
        <v>0.60792999999999997</v>
      </c>
      <c r="M427" s="99">
        <v>1597</v>
      </c>
      <c r="N427" s="98">
        <v>40</v>
      </c>
      <c r="O427" s="99" t="s">
        <v>480</v>
      </c>
      <c r="P427" s="98" t="s">
        <v>481</v>
      </c>
      <c r="Q427" s="98" t="s">
        <v>480</v>
      </c>
      <c r="R427" s="97" t="s">
        <v>480</v>
      </c>
      <c r="T427" s="98" t="s">
        <v>250</v>
      </c>
      <c r="U427" s="98" t="s">
        <v>250</v>
      </c>
      <c r="V427" s="98">
        <v>39.4</v>
      </c>
      <c r="W427" s="98">
        <v>6</v>
      </c>
      <c r="X427" s="98">
        <v>79</v>
      </c>
      <c r="Y427" s="98">
        <v>11</v>
      </c>
      <c r="Z427" s="98">
        <v>36.799999999999997</v>
      </c>
      <c r="AA427" s="98">
        <v>4.8</v>
      </c>
      <c r="AB427" s="98">
        <v>35.4</v>
      </c>
      <c r="AC427" s="98">
        <v>5</v>
      </c>
      <c r="AD427" s="98">
        <v>40.5</v>
      </c>
      <c r="AE427" s="98">
        <v>6.4</v>
      </c>
      <c r="AF427" s="95">
        <v>35.200000000000003</v>
      </c>
      <c r="AG427" s="98">
        <v>2.9</v>
      </c>
      <c r="AH427" s="96">
        <v>40.5</v>
      </c>
      <c r="AI427" s="96">
        <v>4.8</v>
      </c>
      <c r="AJ427" s="95">
        <v>37.4</v>
      </c>
      <c r="AK427" s="95">
        <v>3.5</v>
      </c>
      <c r="AL427" s="96">
        <v>37.4</v>
      </c>
      <c r="AM427" s="96">
        <v>4.9000000000000004</v>
      </c>
      <c r="AN427" s="96">
        <v>38.9</v>
      </c>
      <c r="AO427" s="96">
        <v>6</v>
      </c>
      <c r="AP427" s="96">
        <v>34.1</v>
      </c>
      <c r="AQ427" s="96">
        <v>2.9</v>
      </c>
      <c r="AR427" s="96">
        <v>35.9</v>
      </c>
      <c r="AS427" s="93">
        <v>5.4</v>
      </c>
      <c r="AT427" s="96">
        <v>38.700000000000003</v>
      </c>
      <c r="AU427" s="96">
        <v>4.8</v>
      </c>
      <c r="AV427" s="99">
        <v>32.1</v>
      </c>
      <c r="AW427" s="98">
        <v>4.7</v>
      </c>
      <c r="AX427" s="98">
        <v>35.9</v>
      </c>
      <c r="AY427" s="98">
        <v>3.9</v>
      </c>
      <c r="AZ427" s="98">
        <v>35.6</v>
      </c>
      <c r="BA427" s="98">
        <v>4.9000000000000004</v>
      </c>
      <c r="BB427" s="98">
        <v>36.4</v>
      </c>
      <c r="BC427" s="98">
        <v>4</v>
      </c>
      <c r="BD427" s="98">
        <v>36.799999999999997</v>
      </c>
      <c r="BE427" s="98">
        <v>4.5999999999999996</v>
      </c>
      <c r="BF427" s="98">
        <v>35.200000000000003</v>
      </c>
      <c r="BG427" s="98">
        <v>4.2</v>
      </c>
      <c r="BI427" s="93">
        <v>35.6</v>
      </c>
      <c r="BJ427" s="98">
        <v>6.2</v>
      </c>
      <c r="BK427" s="98">
        <v>46</v>
      </c>
      <c r="BL427" s="98">
        <v>13</v>
      </c>
      <c r="BM427" s="98">
        <v>32.200000000000003</v>
      </c>
      <c r="BN427" s="98">
        <v>5.0999999999999996</v>
      </c>
      <c r="BO427" s="99">
        <v>38.200000000000003</v>
      </c>
      <c r="BP427" s="98">
        <v>3</v>
      </c>
      <c r="BQ427" s="99">
        <v>38.4</v>
      </c>
      <c r="BR427" s="98">
        <v>3.1</v>
      </c>
      <c r="CD427" s="3"/>
      <c r="CE427" s="3"/>
      <c r="CF427" s="3"/>
    </row>
    <row r="428" spans="1:84" s="98" customFormat="1">
      <c r="A428" s="3" t="s">
        <v>596</v>
      </c>
      <c r="B428" s="92" t="s">
        <v>244</v>
      </c>
      <c r="C428" s="3"/>
      <c r="D428" s="93">
        <v>11.01</v>
      </c>
      <c r="E428" s="94">
        <v>0.91590000000000005</v>
      </c>
      <c r="F428" s="94">
        <v>8.2000000000000007E-3</v>
      </c>
      <c r="G428" s="95">
        <v>35.11</v>
      </c>
      <c r="H428" s="96">
        <v>1.1000000000000001</v>
      </c>
      <c r="I428" s="97">
        <v>0.2787</v>
      </c>
      <c r="J428" s="95">
        <v>8.0999999999999996E-3</v>
      </c>
      <c r="K428" s="96">
        <v>0.66188000000000002</v>
      </c>
      <c r="M428" s="99">
        <v>1584</v>
      </c>
      <c r="N428" s="98">
        <v>41</v>
      </c>
      <c r="O428" s="99" t="s">
        <v>480</v>
      </c>
      <c r="P428" s="98" t="s">
        <v>481</v>
      </c>
      <c r="Q428" s="98" t="s">
        <v>480</v>
      </c>
      <c r="R428" s="97" t="s">
        <v>480</v>
      </c>
      <c r="T428" s="98">
        <v>100</v>
      </c>
      <c r="U428" s="98">
        <v>200</v>
      </c>
      <c r="V428" s="98">
        <v>39.5</v>
      </c>
      <c r="W428" s="98">
        <v>6.6</v>
      </c>
      <c r="X428" s="98">
        <v>86</v>
      </c>
      <c r="Y428" s="98">
        <v>11</v>
      </c>
      <c r="Z428" s="98">
        <v>40</v>
      </c>
      <c r="AA428" s="98">
        <v>5.6</v>
      </c>
      <c r="AB428" s="98">
        <v>36.4</v>
      </c>
      <c r="AC428" s="98">
        <v>5.4</v>
      </c>
      <c r="AD428" s="98">
        <v>43.1</v>
      </c>
      <c r="AE428" s="98">
        <v>7</v>
      </c>
      <c r="AF428" s="95">
        <v>36.9</v>
      </c>
      <c r="AG428" s="98">
        <v>3.1</v>
      </c>
      <c r="AH428" s="96">
        <v>36.799999999999997</v>
      </c>
      <c r="AI428" s="96">
        <v>3.5</v>
      </c>
      <c r="AJ428" s="95">
        <v>38.5</v>
      </c>
      <c r="AK428" s="95">
        <v>2.1</v>
      </c>
      <c r="AL428" s="96">
        <v>36.200000000000003</v>
      </c>
      <c r="AM428" s="96">
        <v>4.5999999999999996</v>
      </c>
      <c r="AN428" s="96">
        <v>40.299999999999997</v>
      </c>
      <c r="AO428" s="96">
        <v>6.3</v>
      </c>
      <c r="AP428" s="96">
        <v>36.4</v>
      </c>
      <c r="AQ428" s="96">
        <v>4.4000000000000004</v>
      </c>
      <c r="AR428" s="96">
        <v>41.5</v>
      </c>
      <c r="AS428" s="93">
        <v>7.5</v>
      </c>
      <c r="AT428" s="96">
        <v>36</v>
      </c>
      <c r="AU428" s="96">
        <v>2.6</v>
      </c>
      <c r="AV428" s="99">
        <v>36.799999999999997</v>
      </c>
      <c r="AW428" s="98">
        <v>5</v>
      </c>
      <c r="AX428" s="98">
        <v>36.9</v>
      </c>
      <c r="AY428" s="98">
        <v>3.7</v>
      </c>
      <c r="AZ428" s="98">
        <v>37.799999999999997</v>
      </c>
      <c r="BA428" s="98">
        <v>3.5</v>
      </c>
      <c r="BB428" s="98">
        <v>34.5</v>
      </c>
      <c r="BC428" s="98">
        <v>3.5</v>
      </c>
      <c r="BD428" s="98">
        <v>36.5</v>
      </c>
      <c r="BE428" s="98">
        <v>5.4</v>
      </c>
      <c r="BF428" s="98">
        <v>38.6</v>
      </c>
      <c r="BG428" s="98">
        <v>4.9000000000000004</v>
      </c>
      <c r="BI428" s="93">
        <v>41.3</v>
      </c>
      <c r="BJ428" s="98">
        <v>8.4</v>
      </c>
      <c r="BK428" s="98">
        <v>41</v>
      </c>
      <c r="BL428" s="98">
        <v>15</v>
      </c>
      <c r="BM428" s="98">
        <v>37.5</v>
      </c>
      <c r="BN428" s="98">
        <v>9.4</v>
      </c>
      <c r="BO428" s="99">
        <v>37.299999999999997</v>
      </c>
      <c r="BP428" s="98">
        <v>3.1</v>
      </c>
      <c r="BQ428" s="99">
        <v>37.4</v>
      </c>
      <c r="BR428" s="98">
        <v>3.1</v>
      </c>
      <c r="CD428" s="3"/>
      <c r="CE428" s="3"/>
      <c r="CF428" s="3"/>
    </row>
    <row r="429" spans="1:84" s="98" customFormat="1">
      <c r="A429" s="3" t="s">
        <v>597</v>
      </c>
      <c r="B429" s="92" t="s">
        <v>244</v>
      </c>
      <c r="C429" s="3"/>
      <c r="D429" s="93">
        <v>11.066000000000001</v>
      </c>
      <c r="E429" s="94">
        <v>0.91279999999999994</v>
      </c>
      <c r="F429" s="94">
        <v>9.1000000000000004E-3</v>
      </c>
      <c r="G429" s="95">
        <v>34.79</v>
      </c>
      <c r="H429" s="96">
        <v>1</v>
      </c>
      <c r="I429" s="97">
        <v>0.27729999999999999</v>
      </c>
      <c r="J429" s="95">
        <v>8.0000000000000002E-3</v>
      </c>
      <c r="K429" s="96">
        <v>0.51049999999999995</v>
      </c>
      <c r="M429" s="99">
        <v>1577</v>
      </c>
      <c r="N429" s="98">
        <v>40</v>
      </c>
      <c r="O429" s="99" t="s">
        <v>480</v>
      </c>
      <c r="P429" s="98" t="s">
        <v>481</v>
      </c>
      <c r="Q429" s="98" t="s">
        <v>480</v>
      </c>
      <c r="R429" s="97" t="s">
        <v>480</v>
      </c>
      <c r="T429" s="98" t="s">
        <v>250</v>
      </c>
      <c r="U429" s="98" t="s">
        <v>250</v>
      </c>
      <c r="V429" s="98">
        <v>43.9</v>
      </c>
      <c r="W429" s="98">
        <v>6.7</v>
      </c>
      <c r="X429" s="98">
        <v>82.3</v>
      </c>
      <c r="Y429" s="98">
        <v>8.9</v>
      </c>
      <c r="Z429" s="98">
        <v>39.299999999999997</v>
      </c>
      <c r="AA429" s="98">
        <v>4.8</v>
      </c>
      <c r="AB429" s="98">
        <v>39.1</v>
      </c>
      <c r="AC429" s="98">
        <v>4</v>
      </c>
      <c r="AD429" s="98">
        <v>38.799999999999997</v>
      </c>
      <c r="AE429" s="98">
        <v>5.0999999999999996</v>
      </c>
      <c r="AF429" s="95">
        <v>38.6</v>
      </c>
      <c r="AG429" s="98">
        <v>3.3</v>
      </c>
      <c r="AH429" s="96">
        <v>40.799999999999997</v>
      </c>
      <c r="AI429" s="96">
        <v>4</v>
      </c>
      <c r="AJ429" s="95">
        <v>39.700000000000003</v>
      </c>
      <c r="AK429" s="95">
        <v>2.7</v>
      </c>
      <c r="AL429" s="96">
        <v>36.799999999999997</v>
      </c>
      <c r="AM429" s="96">
        <v>5.4</v>
      </c>
      <c r="AN429" s="96">
        <v>45.7</v>
      </c>
      <c r="AO429" s="96">
        <v>6.3</v>
      </c>
      <c r="AP429" s="96">
        <v>38.6</v>
      </c>
      <c r="AQ429" s="96">
        <v>4.5999999999999996</v>
      </c>
      <c r="AR429" s="96">
        <v>42.4</v>
      </c>
      <c r="AS429" s="93">
        <v>5.7</v>
      </c>
      <c r="AT429" s="96">
        <v>36.6</v>
      </c>
      <c r="AU429" s="96">
        <v>4</v>
      </c>
      <c r="AV429" s="99">
        <v>42.6</v>
      </c>
      <c r="AW429" s="98">
        <v>5.3</v>
      </c>
      <c r="AX429" s="98">
        <v>40.5</v>
      </c>
      <c r="AY429" s="98">
        <v>3.8</v>
      </c>
      <c r="AZ429" s="98">
        <v>41.7</v>
      </c>
      <c r="BA429" s="98">
        <v>5.2</v>
      </c>
      <c r="BB429" s="98">
        <v>39.6</v>
      </c>
      <c r="BC429" s="98">
        <v>3.7</v>
      </c>
      <c r="BD429" s="98">
        <v>49.5</v>
      </c>
      <c r="BE429" s="98">
        <v>4.5</v>
      </c>
      <c r="BF429" s="98">
        <v>37.9</v>
      </c>
      <c r="BG429" s="98">
        <v>3.8</v>
      </c>
      <c r="BI429" s="93">
        <v>44</v>
      </c>
      <c r="BJ429" s="98">
        <v>6.2</v>
      </c>
      <c r="BK429" s="98">
        <v>38</v>
      </c>
      <c r="BL429" s="98">
        <v>12</v>
      </c>
      <c r="BM429" s="98">
        <v>40.4</v>
      </c>
      <c r="BN429" s="98">
        <v>8.1999999999999993</v>
      </c>
      <c r="BO429" s="99">
        <v>40.4</v>
      </c>
      <c r="BP429" s="98">
        <v>3.1</v>
      </c>
      <c r="BQ429" s="99">
        <v>40.9</v>
      </c>
      <c r="BR429" s="98">
        <v>3.2</v>
      </c>
      <c r="CD429" s="3"/>
      <c r="CE429" s="3"/>
      <c r="CF429" s="3"/>
    </row>
    <row r="430" spans="1:84" s="98" customFormat="1">
      <c r="A430" s="3" t="s">
        <v>598</v>
      </c>
      <c r="B430" s="92" t="s">
        <v>244</v>
      </c>
      <c r="C430" s="3"/>
      <c r="D430" s="93">
        <v>11.013999999999999</v>
      </c>
      <c r="E430" s="94">
        <v>0.9103</v>
      </c>
      <c r="F430" s="94">
        <v>8.9999999999999993E-3</v>
      </c>
      <c r="G430" s="95">
        <v>34.9</v>
      </c>
      <c r="H430" s="96">
        <v>1.1000000000000001</v>
      </c>
      <c r="I430" s="97">
        <v>0.2792</v>
      </c>
      <c r="J430" s="95">
        <v>8.0000000000000002E-3</v>
      </c>
      <c r="K430" s="96">
        <v>0.50746999999999998</v>
      </c>
      <c r="M430" s="99">
        <v>1587</v>
      </c>
      <c r="N430" s="98">
        <v>41</v>
      </c>
      <c r="O430" s="99" t="s">
        <v>480</v>
      </c>
      <c r="P430" s="98" t="s">
        <v>481</v>
      </c>
      <c r="Q430" s="98" t="s">
        <v>480</v>
      </c>
      <c r="R430" s="97" t="s">
        <v>480</v>
      </c>
      <c r="T430" s="98">
        <v>30</v>
      </c>
      <c r="U430" s="98">
        <v>140</v>
      </c>
      <c r="V430" s="98">
        <v>32.1</v>
      </c>
      <c r="W430" s="98">
        <v>5</v>
      </c>
      <c r="X430" s="98">
        <v>84.3</v>
      </c>
      <c r="Y430" s="98">
        <v>9.4</v>
      </c>
      <c r="Z430" s="98">
        <v>40.299999999999997</v>
      </c>
      <c r="AA430" s="98">
        <v>6.7</v>
      </c>
      <c r="AB430" s="98">
        <v>36.1</v>
      </c>
      <c r="AC430" s="98">
        <v>4.4000000000000004</v>
      </c>
      <c r="AD430" s="98">
        <v>41.7</v>
      </c>
      <c r="AE430" s="98">
        <v>5.0999999999999996</v>
      </c>
      <c r="AF430" s="95">
        <v>37</v>
      </c>
      <c r="AG430" s="98">
        <v>2.5</v>
      </c>
      <c r="AH430" s="96">
        <v>39.799999999999997</v>
      </c>
      <c r="AI430" s="96">
        <v>4.8</v>
      </c>
      <c r="AJ430" s="95">
        <v>38.799999999999997</v>
      </c>
      <c r="AK430" s="95">
        <v>2</v>
      </c>
      <c r="AL430" s="96">
        <v>33.6</v>
      </c>
      <c r="AM430" s="96">
        <v>3.6</v>
      </c>
      <c r="AN430" s="96">
        <v>40</v>
      </c>
      <c r="AO430" s="96">
        <v>6</v>
      </c>
      <c r="AP430" s="96">
        <v>35.700000000000003</v>
      </c>
      <c r="AQ430" s="96">
        <v>3.8</v>
      </c>
      <c r="AR430" s="96">
        <v>35.1</v>
      </c>
      <c r="AS430" s="93">
        <v>6.9</v>
      </c>
      <c r="AT430" s="96">
        <v>37.5</v>
      </c>
      <c r="AU430" s="96">
        <v>3.7</v>
      </c>
      <c r="AV430" s="99">
        <v>36.9</v>
      </c>
      <c r="AW430" s="98">
        <v>5.0999999999999996</v>
      </c>
      <c r="AX430" s="98">
        <v>39.700000000000003</v>
      </c>
      <c r="AY430" s="98">
        <v>4.5999999999999996</v>
      </c>
      <c r="AZ430" s="98">
        <v>37.4</v>
      </c>
      <c r="BA430" s="98">
        <v>6.2</v>
      </c>
      <c r="BB430" s="98">
        <v>37.799999999999997</v>
      </c>
      <c r="BC430" s="98">
        <v>4.3</v>
      </c>
      <c r="BD430" s="98">
        <v>37.6</v>
      </c>
      <c r="BE430" s="98">
        <v>7.7</v>
      </c>
      <c r="BF430" s="98">
        <v>37.6</v>
      </c>
      <c r="BG430" s="98">
        <v>4.5</v>
      </c>
      <c r="BI430" s="93">
        <v>37.799999999999997</v>
      </c>
      <c r="BJ430" s="98">
        <v>8.6999999999999993</v>
      </c>
      <c r="BK430" s="98">
        <v>38</v>
      </c>
      <c r="BL430" s="98">
        <v>10</v>
      </c>
      <c r="BM430" s="98">
        <v>35.200000000000003</v>
      </c>
      <c r="BN430" s="98">
        <v>7.9</v>
      </c>
      <c r="BO430" s="99">
        <v>38.4</v>
      </c>
      <c r="BP430" s="98">
        <v>2.9</v>
      </c>
      <c r="BQ430" s="99">
        <v>38.700000000000003</v>
      </c>
      <c r="BR430" s="98">
        <v>3</v>
      </c>
      <c r="CD430" s="3"/>
      <c r="CE430" s="3"/>
      <c r="CF430" s="3"/>
    </row>
    <row r="431" spans="1:84" s="98" customFormat="1">
      <c r="A431" s="3" t="s">
        <v>589</v>
      </c>
      <c r="B431" s="3" t="s">
        <v>268</v>
      </c>
      <c r="C431" s="3"/>
      <c r="D431" s="93">
        <v>7.0179999999999998</v>
      </c>
      <c r="E431" s="94">
        <v>0.90800000000000003</v>
      </c>
      <c r="F431" s="94">
        <v>0.01</v>
      </c>
      <c r="G431" s="95">
        <v>34.47</v>
      </c>
      <c r="H431" s="96">
        <v>0.89</v>
      </c>
      <c r="I431" s="97">
        <v>0.2757</v>
      </c>
      <c r="J431" s="95">
        <v>6.7000000000000002E-3</v>
      </c>
      <c r="K431" s="96">
        <v>0.38088</v>
      </c>
      <c r="M431" s="99">
        <v>1569</v>
      </c>
      <c r="N431" s="98">
        <v>34</v>
      </c>
      <c r="O431" s="99">
        <v>5103</v>
      </c>
      <c r="P431" s="98">
        <v>10</v>
      </c>
      <c r="Q431" s="98">
        <v>69.239999999999995</v>
      </c>
      <c r="R431" s="97">
        <v>0.71799999999999997</v>
      </c>
      <c r="T431" s="98">
        <v>90</v>
      </c>
      <c r="U431" s="98">
        <v>600</v>
      </c>
      <c r="V431" s="98">
        <v>39.9</v>
      </c>
      <c r="W431" s="98">
        <v>7.9</v>
      </c>
      <c r="X431" s="98">
        <v>80.8</v>
      </c>
      <c r="Y431" s="98">
        <v>9.8000000000000007</v>
      </c>
      <c r="Z431" s="98">
        <v>44.1</v>
      </c>
      <c r="AA431" s="98">
        <v>7.6</v>
      </c>
      <c r="AB431" s="98">
        <v>34.9</v>
      </c>
      <c r="AC431" s="98">
        <v>5</v>
      </c>
      <c r="AD431" s="98">
        <v>38.6</v>
      </c>
      <c r="AE431" s="98">
        <v>4.3</v>
      </c>
      <c r="AF431" s="95">
        <v>36.4</v>
      </c>
      <c r="AG431" s="98">
        <v>2.6</v>
      </c>
      <c r="AH431" s="96">
        <v>36.4</v>
      </c>
      <c r="AI431" s="96">
        <v>3.8</v>
      </c>
      <c r="AJ431" s="95">
        <v>38.6</v>
      </c>
      <c r="AK431" s="95">
        <v>3.5</v>
      </c>
      <c r="AL431" s="96">
        <v>35.299999999999997</v>
      </c>
      <c r="AM431" s="96">
        <v>5.5</v>
      </c>
      <c r="AN431" s="96">
        <v>39.5</v>
      </c>
      <c r="AO431" s="96">
        <v>5.7</v>
      </c>
      <c r="AP431" s="96">
        <v>35.1</v>
      </c>
      <c r="AQ431" s="96">
        <v>4.7</v>
      </c>
      <c r="AR431" s="96">
        <v>39.5</v>
      </c>
      <c r="AS431" s="93">
        <v>8.3000000000000007</v>
      </c>
      <c r="AT431" s="96">
        <v>36.6</v>
      </c>
      <c r="AU431" s="96">
        <v>4.3</v>
      </c>
      <c r="AV431" s="99">
        <v>37.9</v>
      </c>
      <c r="AW431" s="98">
        <v>8.3000000000000007</v>
      </c>
      <c r="AX431" s="98">
        <v>39.700000000000003</v>
      </c>
      <c r="AY431" s="98">
        <v>4.3</v>
      </c>
      <c r="AZ431" s="98">
        <v>35.1</v>
      </c>
      <c r="BA431" s="98">
        <v>3.5</v>
      </c>
      <c r="BB431" s="98">
        <v>36.799999999999997</v>
      </c>
      <c r="BC431" s="98">
        <v>4.7</v>
      </c>
      <c r="BD431" s="98">
        <v>37</v>
      </c>
      <c r="BE431" s="98">
        <v>7.9</v>
      </c>
      <c r="BF431" s="98">
        <v>38.200000000000003</v>
      </c>
      <c r="BG431" s="98">
        <v>5.9</v>
      </c>
      <c r="BI431" s="93">
        <v>41</v>
      </c>
      <c r="BJ431" s="98">
        <v>9.4</v>
      </c>
      <c r="BK431" s="98">
        <v>23.3</v>
      </c>
      <c r="BL431" s="98">
        <v>9.1</v>
      </c>
      <c r="BM431" s="98">
        <v>38.700000000000003</v>
      </c>
      <c r="BN431" s="98">
        <v>9.3000000000000007</v>
      </c>
      <c r="BO431" s="99">
        <v>41.1</v>
      </c>
      <c r="BP431" s="98">
        <v>3.8</v>
      </c>
      <c r="BQ431" s="99">
        <v>37.799999999999997</v>
      </c>
      <c r="BR431" s="98">
        <v>3.5</v>
      </c>
      <c r="CD431" s="3"/>
      <c r="CE431" s="3"/>
      <c r="CF431" s="3"/>
    </row>
    <row r="432" spans="1:84" s="98" customFormat="1">
      <c r="A432" s="3" t="s">
        <v>590</v>
      </c>
      <c r="B432" s="3" t="s">
        <v>268</v>
      </c>
      <c r="C432" s="3"/>
      <c r="D432" s="93">
        <v>7.3</v>
      </c>
      <c r="E432" s="94">
        <v>0.91500000000000004</v>
      </c>
      <c r="F432" s="94">
        <v>1.4999999999999999E-2</v>
      </c>
      <c r="G432" s="95">
        <v>34.69</v>
      </c>
      <c r="H432" s="96">
        <v>0.89</v>
      </c>
      <c r="I432" s="97">
        <v>0.2757</v>
      </c>
      <c r="J432" s="95">
        <v>6.7999999999999996E-3</v>
      </c>
      <c r="K432" s="96">
        <v>-4.0608999999999999E-2</v>
      </c>
      <c r="M432" s="99">
        <v>1570</v>
      </c>
      <c r="N432" s="98">
        <v>34</v>
      </c>
      <c r="O432" s="99">
        <v>5111</v>
      </c>
      <c r="P432" s="98">
        <v>12</v>
      </c>
      <c r="Q432" s="98">
        <v>69.290000000000006</v>
      </c>
      <c r="R432" s="97">
        <v>0.72399999999999998</v>
      </c>
      <c r="T432" s="98">
        <v>20</v>
      </c>
      <c r="U432" s="98">
        <v>220</v>
      </c>
      <c r="V432" s="98">
        <v>36.700000000000003</v>
      </c>
      <c r="W432" s="98">
        <v>5.6</v>
      </c>
      <c r="X432" s="98">
        <v>72</v>
      </c>
      <c r="Y432" s="98">
        <v>11</v>
      </c>
      <c r="Z432" s="98">
        <v>34</v>
      </c>
      <c r="AA432" s="98">
        <v>4.4000000000000004</v>
      </c>
      <c r="AB432" s="98">
        <v>34.200000000000003</v>
      </c>
      <c r="AC432" s="98">
        <v>7</v>
      </c>
      <c r="AD432" s="98">
        <v>33.799999999999997</v>
      </c>
      <c r="AE432" s="98">
        <v>5.0999999999999996</v>
      </c>
      <c r="AF432" s="95">
        <v>32.700000000000003</v>
      </c>
      <c r="AG432" s="98">
        <v>3.1</v>
      </c>
      <c r="AH432" s="96">
        <v>35.5</v>
      </c>
      <c r="AI432" s="96">
        <v>4</v>
      </c>
      <c r="AJ432" s="95">
        <v>34.4</v>
      </c>
      <c r="AK432" s="95">
        <v>4</v>
      </c>
      <c r="AL432" s="96">
        <v>33.5</v>
      </c>
      <c r="AM432" s="96">
        <v>6.7</v>
      </c>
      <c r="AN432" s="96">
        <v>35</v>
      </c>
      <c r="AO432" s="96">
        <v>6.5</v>
      </c>
      <c r="AP432" s="96">
        <v>34.4</v>
      </c>
      <c r="AQ432" s="96">
        <v>3.9</v>
      </c>
      <c r="AR432" s="96">
        <v>32.6</v>
      </c>
      <c r="AS432" s="93">
        <v>6</v>
      </c>
      <c r="AT432" s="96">
        <v>33.5</v>
      </c>
      <c r="AU432" s="96">
        <v>5.3</v>
      </c>
      <c r="AV432" s="99">
        <v>32.4</v>
      </c>
      <c r="AW432" s="98">
        <v>6.8</v>
      </c>
      <c r="AX432" s="98">
        <v>32.700000000000003</v>
      </c>
      <c r="AY432" s="98">
        <v>4.8</v>
      </c>
      <c r="AZ432" s="98">
        <v>34.6</v>
      </c>
      <c r="BA432" s="98">
        <v>4.3</v>
      </c>
      <c r="BB432" s="98">
        <v>31.5</v>
      </c>
      <c r="BC432" s="98">
        <v>5</v>
      </c>
      <c r="BD432" s="98">
        <v>30.1</v>
      </c>
      <c r="BE432" s="98">
        <v>5.7</v>
      </c>
      <c r="BF432" s="98">
        <v>33</v>
      </c>
      <c r="BG432" s="98">
        <v>4.8</v>
      </c>
      <c r="BI432" s="93">
        <v>31</v>
      </c>
      <c r="BJ432" s="98">
        <v>7.5</v>
      </c>
      <c r="BK432" s="98">
        <v>31</v>
      </c>
      <c r="BL432" s="98">
        <v>14</v>
      </c>
      <c r="BM432" s="98">
        <v>34.700000000000003</v>
      </c>
      <c r="BN432" s="98">
        <v>8.5</v>
      </c>
      <c r="BO432" s="99">
        <v>37.9</v>
      </c>
      <c r="BP432" s="98">
        <v>3.7</v>
      </c>
      <c r="BQ432" s="99">
        <v>39</v>
      </c>
      <c r="BR432" s="98">
        <v>6.5</v>
      </c>
      <c r="CD432" s="3"/>
      <c r="CE432" s="3"/>
      <c r="CF432" s="3"/>
    </row>
    <row r="433" spans="1:84" s="98" customFormat="1">
      <c r="A433" s="3" t="s">
        <v>591</v>
      </c>
      <c r="B433" s="3" t="s">
        <v>268</v>
      </c>
      <c r="C433" s="3"/>
      <c r="D433" s="93">
        <v>7.0410000000000004</v>
      </c>
      <c r="E433" s="94">
        <v>0.91300000000000003</v>
      </c>
      <c r="F433" s="94">
        <v>1.4E-2</v>
      </c>
      <c r="G433" s="95">
        <v>34.39</v>
      </c>
      <c r="H433" s="96">
        <v>0.89</v>
      </c>
      <c r="I433" s="97">
        <v>0.27400000000000002</v>
      </c>
      <c r="J433" s="95">
        <v>7.0000000000000001E-3</v>
      </c>
      <c r="K433" s="96">
        <v>0.18848000000000001</v>
      </c>
      <c r="M433" s="99">
        <v>1561</v>
      </c>
      <c r="N433" s="98">
        <v>35</v>
      </c>
      <c r="O433" s="99">
        <v>5107</v>
      </c>
      <c r="P433" s="98">
        <v>14</v>
      </c>
      <c r="Q433" s="98">
        <v>69.430000000000007</v>
      </c>
      <c r="R433" s="97">
        <v>0.72299999999999998</v>
      </c>
      <c r="T433" s="98" t="s">
        <v>250</v>
      </c>
      <c r="U433" s="98" t="s">
        <v>250</v>
      </c>
      <c r="V433" s="98">
        <v>35.1</v>
      </c>
      <c r="W433" s="98">
        <v>4.5</v>
      </c>
      <c r="X433" s="98">
        <v>69.400000000000006</v>
      </c>
      <c r="Y433" s="98">
        <v>7.2</v>
      </c>
      <c r="Z433" s="98">
        <v>33</v>
      </c>
      <c r="AA433" s="98">
        <v>4.4000000000000004</v>
      </c>
      <c r="AB433" s="98">
        <v>34.799999999999997</v>
      </c>
      <c r="AC433" s="98">
        <v>5</v>
      </c>
      <c r="AD433" s="98">
        <v>36.6</v>
      </c>
      <c r="AE433" s="98">
        <v>5.3</v>
      </c>
      <c r="AF433" s="95">
        <v>32.1</v>
      </c>
      <c r="AG433" s="98">
        <v>2.9</v>
      </c>
      <c r="AH433" s="96">
        <v>35</v>
      </c>
      <c r="AI433" s="96">
        <v>3.3</v>
      </c>
      <c r="AJ433" s="95">
        <v>33.5</v>
      </c>
      <c r="AK433" s="95">
        <v>3</v>
      </c>
      <c r="AL433" s="96">
        <v>32.4</v>
      </c>
      <c r="AM433" s="96">
        <v>3.5</v>
      </c>
      <c r="AN433" s="96">
        <v>33.1</v>
      </c>
      <c r="AO433" s="96">
        <v>3</v>
      </c>
      <c r="AP433" s="96">
        <v>31</v>
      </c>
      <c r="AQ433" s="96">
        <v>4.2</v>
      </c>
      <c r="AR433" s="96">
        <v>35.9</v>
      </c>
      <c r="AS433" s="93">
        <v>8.1999999999999993</v>
      </c>
      <c r="AT433" s="96">
        <v>33.4</v>
      </c>
      <c r="AU433" s="96">
        <v>3.8</v>
      </c>
      <c r="AV433" s="99">
        <v>32.4</v>
      </c>
      <c r="AW433" s="98">
        <v>7.2</v>
      </c>
      <c r="AX433" s="98">
        <v>34.299999999999997</v>
      </c>
      <c r="AY433" s="98">
        <v>4.3</v>
      </c>
      <c r="AZ433" s="98">
        <v>32.200000000000003</v>
      </c>
      <c r="BA433" s="98">
        <v>4.3</v>
      </c>
      <c r="BB433" s="98">
        <v>33.299999999999997</v>
      </c>
      <c r="BC433" s="98">
        <v>4.0999999999999996</v>
      </c>
      <c r="BD433" s="98">
        <v>33.6</v>
      </c>
      <c r="BE433" s="98">
        <v>4.2</v>
      </c>
      <c r="BF433" s="98">
        <v>32.6</v>
      </c>
      <c r="BG433" s="98">
        <v>4.8</v>
      </c>
      <c r="BI433" s="93">
        <v>40</v>
      </c>
      <c r="BJ433" s="98">
        <v>4.0999999999999996</v>
      </c>
      <c r="BK433" s="98">
        <v>43</v>
      </c>
      <c r="BL433" s="98">
        <v>11</v>
      </c>
      <c r="BM433" s="98">
        <v>34</v>
      </c>
      <c r="BN433" s="98">
        <v>6.7</v>
      </c>
      <c r="BO433" s="99">
        <v>36</v>
      </c>
      <c r="BP433" s="98">
        <v>2.2000000000000002</v>
      </c>
      <c r="BQ433" s="99">
        <v>35.200000000000003</v>
      </c>
      <c r="BR433" s="98">
        <v>2.2000000000000002</v>
      </c>
      <c r="CD433" s="3"/>
      <c r="CE433" s="3"/>
      <c r="CF433" s="3"/>
    </row>
    <row r="434" spans="1:84" s="98" customFormat="1">
      <c r="A434" s="3" t="s">
        <v>592</v>
      </c>
      <c r="B434" s="3" t="s">
        <v>268</v>
      </c>
      <c r="C434" s="3"/>
      <c r="D434" s="93">
        <v>7.0570000000000004</v>
      </c>
      <c r="E434" s="94">
        <v>0.90920000000000001</v>
      </c>
      <c r="F434" s="94">
        <v>9.7999999999999997E-3</v>
      </c>
      <c r="G434" s="95">
        <v>34.24</v>
      </c>
      <c r="H434" s="96">
        <v>0.87</v>
      </c>
      <c r="I434" s="97">
        <v>0.2727</v>
      </c>
      <c r="J434" s="95">
        <v>6.3E-3</v>
      </c>
      <c r="K434" s="96">
        <v>0.40450999999999998</v>
      </c>
      <c r="M434" s="99">
        <v>1554</v>
      </c>
      <c r="N434" s="98">
        <v>32</v>
      </c>
      <c r="O434" s="99">
        <v>5104.6000000000004</v>
      </c>
      <c r="P434" s="98">
        <v>8.6999999999999993</v>
      </c>
      <c r="Q434" s="98">
        <v>69.55</v>
      </c>
      <c r="R434" s="97">
        <v>0.72</v>
      </c>
      <c r="T434" s="98">
        <v>40</v>
      </c>
      <c r="U434" s="98">
        <v>350</v>
      </c>
      <c r="V434" s="98">
        <v>41.7</v>
      </c>
      <c r="W434" s="98">
        <v>6.9</v>
      </c>
      <c r="X434" s="98">
        <v>74</v>
      </c>
      <c r="Y434" s="98">
        <v>10</v>
      </c>
      <c r="Z434" s="98">
        <v>36</v>
      </c>
      <c r="AA434" s="98">
        <v>3.7</v>
      </c>
      <c r="AB434" s="98">
        <v>37.799999999999997</v>
      </c>
      <c r="AC434" s="98">
        <v>5.3</v>
      </c>
      <c r="AD434" s="98">
        <v>35.6</v>
      </c>
      <c r="AE434" s="98">
        <v>5.4</v>
      </c>
      <c r="AF434" s="95">
        <v>35.6</v>
      </c>
      <c r="AG434" s="98">
        <v>3.9</v>
      </c>
      <c r="AH434" s="96">
        <v>40</v>
      </c>
      <c r="AI434" s="96">
        <v>5.6</v>
      </c>
      <c r="AJ434" s="95">
        <v>37</v>
      </c>
      <c r="AK434" s="95">
        <v>4</v>
      </c>
      <c r="AL434" s="96">
        <v>31.5</v>
      </c>
      <c r="AM434" s="96">
        <v>4</v>
      </c>
      <c r="AN434" s="96">
        <v>38.299999999999997</v>
      </c>
      <c r="AO434" s="96">
        <v>5.3</v>
      </c>
      <c r="AP434" s="96">
        <v>33.799999999999997</v>
      </c>
      <c r="AQ434" s="96">
        <v>5.2</v>
      </c>
      <c r="AR434" s="96">
        <v>38.200000000000003</v>
      </c>
      <c r="AS434" s="93">
        <v>7.8</v>
      </c>
      <c r="AT434" s="96">
        <v>37</v>
      </c>
      <c r="AU434" s="96">
        <v>3.7</v>
      </c>
      <c r="AV434" s="99">
        <v>34.299999999999997</v>
      </c>
      <c r="AW434" s="98">
        <v>5.8</v>
      </c>
      <c r="AX434" s="98">
        <v>34.4</v>
      </c>
      <c r="AY434" s="98">
        <v>4.2</v>
      </c>
      <c r="AZ434" s="98">
        <v>40.9</v>
      </c>
      <c r="BA434" s="98">
        <v>7.4</v>
      </c>
      <c r="BB434" s="98">
        <v>33.799999999999997</v>
      </c>
      <c r="BC434" s="98">
        <v>5</v>
      </c>
      <c r="BD434" s="98">
        <v>33.700000000000003</v>
      </c>
      <c r="BE434" s="98">
        <v>8</v>
      </c>
      <c r="BF434" s="98">
        <v>36.200000000000003</v>
      </c>
      <c r="BG434" s="98">
        <v>4.2</v>
      </c>
      <c r="BI434" s="93">
        <v>48</v>
      </c>
      <c r="BJ434" s="98">
        <v>10</v>
      </c>
      <c r="BK434" s="98">
        <v>47</v>
      </c>
      <c r="BL434" s="98">
        <v>14</v>
      </c>
      <c r="BM434" s="98">
        <v>31.9</v>
      </c>
      <c r="BN434" s="98">
        <v>5</v>
      </c>
      <c r="BO434" s="99">
        <v>39.6</v>
      </c>
      <c r="BP434" s="98">
        <v>4.7</v>
      </c>
      <c r="BQ434" s="99">
        <v>39.4</v>
      </c>
      <c r="BR434" s="98">
        <v>4.5</v>
      </c>
      <c r="CD434" s="3"/>
      <c r="CE434" s="3"/>
      <c r="CF434" s="3"/>
    </row>
    <row r="435" spans="1:84" s="98" customFormat="1">
      <c r="A435" s="3" t="s">
        <v>593</v>
      </c>
      <c r="B435" s="3" t="s">
        <v>268</v>
      </c>
      <c r="C435" s="3"/>
      <c r="D435" s="93">
        <v>7.0060000000000002</v>
      </c>
      <c r="E435" s="94">
        <v>0.91600000000000004</v>
      </c>
      <c r="F435" s="94">
        <v>1.0999999999999999E-2</v>
      </c>
      <c r="G435" s="95">
        <v>34.229999999999997</v>
      </c>
      <c r="H435" s="96">
        <v>0.87</v>
      </c>
      <c r="I435" s="97">
        <v>0.27279999999999999</v>
      </c>
      <c r="J435" s="95">
        <v>6.4999999999999997E-3</v>
      </c>
      <c r="K435" s="96">
        <v>0.33822000000000002</v>
      </c>
      <c r="M435" s="99">
        <v>1555</v>
      </c>
      <c r="N435" s="98">
        <v>33</v>
      </c>
      <c r="O435" s="99">
        <v>5111.8</v>
      </c>
      <c r="P435" s="98">
        <v>9.6999999999999993</v>
      </c>
      <c r="Q435" s="98">
        <v>69.58</v>
      </c>
      <c r="R435" s="97">
        <v>0.72599999999999998</v>
      </c>
      <c r="T435" s="98" t="s">
        <v>250</v>
      </c>
      <c r="U435" s="98" t="s">
        <v>250</v>
      </c>
      <c r="V435" s="98">
        <v>37</v>
      </c>
      <c r="W435" s="98">
        <v>4.5</v>
      </c>
      <c r="X435" s="98">
        <v>74.5</v>
      </c>
      <c r="Y435" s="98">
        <v>8.9</v>
      </c>
      <c r="Z435" s="98">
        <v>35.4</v>
      </c>
      <c r="AA435" s="98">
        <v>4.7</v>
      </c>
      <c r="AB435" s="98">
        <v>36.4</v>
      </c>
      <c r="AC435" s="98">
        <v>5.6</v>
      </c>
      <c r="AD435" s="98">
        <v>37.700000000000003</v>
      </c>
      <c r="AE435" s="98">
        <v>5.4</v>
      </c>
      <c r="AF435" s="95">
        <v>35.6</v>
      </c>
      <c r="AG435" s="98">
        <v>2.6</v>
      </c>
      <c r="AH435" s="96">
        <v>36.4</v>
      </c>
      <c r="AI435" s="96">
        <v>5.2</v>
      </c>
      <c r="AJ435" s="95">
        <v>37.9</v>
      </c>
      <c r="AK435" s="95">
        <v>2.9</v>
      </c>
      <c r="AL435" s="96">
        <v>36</v>
      </c>
      <c r="AM435" s="96">
        <v>4.9000000000000004</v>
      </c>
      <c r="AN435" s="96">
        <v>33.200000000000003</v>
      </c>
      <c r="AO435" s="96">
        <v>5.3</v>
      </c>
      <c r="AP435" s="96">
        <v>35.700000000000003</v>
      </c>
      <c r="AQ435" s="96">
        <v>3.9</v>
      </c>
      <c r="AR435" s="96">
        <v>37.200000000000003</v>
      </c>
      <c r="AS435" s="93">
        <v>7.7</v>
      </c>
      <c r="AT435" s="96">
        <v>36.4</v>
      </c>
      <c r="AU435" s="96">
        <v>3.7</v>
      </c>
      <c r="AV435" s="99">
        <v>33</v>
      </c>
      <c r="AW435" s="98">
        <v>7.7</v>
      </c>
      <c r="AX435" s="98">
        <v>37.9</v>
      </c>
      <c r="AY435" s="98">
        <v>5</v>
      </c>
      <c r="AZ435" s="98">
        <v>32.799999999999997</v>
      </c>
      <c r="BA435" s="98">
        <v>3.6</v>
      </c>
      <c r="BB435" s="98">
        <v>36</v>
      </c>
      <c r="BC435" s="98">
        <v>4.9000000000000004</v>
      </c>
      <c r="BD435" s="98">
        <v>39.6</v>
      </c>
      <c r="BE435" s="98">
        <v>4.8</v>
      </c>
      <c r="BF435" s="98">
        <v>37</v>
      </c>
      <c r="BG435" s="98">
        <v>4.4000000000000004</v>
      </c>
      <c r="BI435" s="93">
        <v>43.4</v>
      </c>
      <c r="BJ435" s="98">
        <v>6.1</v>
      </c>
      <c r="BK435" s="98">
        <v>41</v>
      </c>
      <c r="BL435" s="98">
        <v>14</v>
      </c>
      <c r="BM435" s="98">
        <v>33.799999999999997</v>
      </c>
      <c r="BN435" s="98">
        <v>8.1999999999999993</v>
      </c>
      <c r="BO435" s="99">
        <v>38.299999999999997</v>
      </c>
      <c r="BP435" s="98">
        <v>2.8</v>
      </c>
      <c r="BQ435" s="99">
        <v>38.1</v>
      </c>
      <c r="BR435" s="98">
        <v>2.7</v>
      </c>
      <c r="CD435" s="3"/>
      <c r="CE435" s="3"/>
      <c r="CF435" s="3"/>
    </row>
    <row r="436" spans="1:84" s="98" customFormat="1">
      <c r="A436" s="3" t="s">
        <v>594</v>
      </c>
      <c r="B436" s="3" t="s">
        <v>268</v>
      </c>
      <c r="C436" s="3"/>
      <c r="D436" s="93">
        <v>7.056</v>
      </c>
      <c r="E436" s="94">
        <v>0.91459999999999997</v>
      </c>
      <c r="F436" s="94">
        <v>9.1000000000000004E-3</v>
      </c>
      <c r="G436" s="95">
        <v>34.03</v>
      </c>
      <c r="H436" s="96">
        <v>0.85</v>
      </c>
      <c r="I436" s="97">
        <v>0.26989999999999997</v>
      </c>
      <c r="J436" s="95">
        <v>5.8999999999999999E-3</v>
      </c>
      <c r="K436" s="96">
        <v>5.0120999999999999E-2</v>
      </c>
      <c r="M436" s="99">
        <v>1540</v>
      </c>
      <c r="N436" s="98">
        <v>30</v>
      </c>
      <c r="O436" s="99">
        <v>5112.5</v>
      </c>
      <c r="P436" s="98">
        <v>7.2</v>
      </c>
      <c r="Q436" s="98">
        <v>69.88</v>
      </c>
      <c r="R436" s="97">
        <v>0.72599999999999998</v>
      </c>
      <c r="T436" s="98">
        <v>50</v>
      </c>
      <c r="U436" s="98">
        <v>150</v>
      </c>
      <c r="V436" s="98">
        <v>39.9</v>
      </c>
      <c r="W436" s="98">
        <v>7.1</v>
      </c>
      <c r="X436" s="98">
        <v>74.5</v>
      </c>
      <c r="Y436" s="98">
        <v>8.4</v>
      </c>
      <c r="Z436" s="98">
        <v>36.5</v>
      </c>
      <c r="AA436" s="98">
        <v>3.5</v>
      </c>
      <c r="AB436" s="98">
        <v>32.4</v>
      </c>
      <c r="AC436" s="98">
        <v>3.9</v>
      </c>
      <c r="AD436" s="98">
        <v>39</v>
      </c>
      <c r="AE436" s="98">
        <v>6.9</v>
      </c>
      <c r="AF436" s="95">
        <v>35</v>
      </c>
      <c r="AG436" s="98">
        <v>2.2000000000000002</v>
      </c>
      <c r="AH436" s="96">
        <v>37.200000000000003</v>
      </c>
      <c r="AI436" s="96">
        <v>3.3</v>
      </c>
      <c r="AJ436" s="95">
        <v>36.200000000000003</v>
      </c>
      <c r="AK436" s="95">
        <v>2.2000000000000002</v>
      </c>
      <c r="AL436" s="96">
        <v>32.4</v>
      </c>
      <c r="AM436" s="96">
        <v>3.9</v>
      </c>
      <c r="AN436" s="96">
        <v>38.1</v>
      </c>
      <c r="AO436" s="96">
        <v>3.7</v>
      </c>
      <c r="AP436" s="96">
        <v>33.700000000000003</v>
      </c>
      <c r="AQ436" s="96">
        <v>2.9</v>
      </c>
      <c r="AR436" s="96">
        <v>35.6</v>
      </c>
      <c r="AS436" s="93">
        <v>8.1</v>
      </c>
      <c r="AT436" s="96">
        <v>33.299999999999997</v>
      </c>
      <c r="AU436" s="96">
        <v>3.6</v>
      </c>
      <c r="AV436" s="99">
        <v>30</v>
      </c>
      <c r="AW436" s="98">
        <v>5.3</v>
      </c>
      <c r="AX436" s="98">
        <v>34.799999999999997</v>
      </c>
      <c r="AY436" s="98">
        <v>4.4000000000000004</v>
      </c>
      <c r="AZ436" s="98">
        <v>34.700000000000003</v>
      </c>
      <c r="BA436" s="98">
        <v>6</v>
      </c>
      <c r="BB436" s="98">
        <v>33.5</v>
      </c>
      <c r="BC436" s="98">
        <v>3.9</v>
      </c>
      <c r="BD436" s="98">
        <v>33.799999999999997</v>
      </c>
      <c r="BE436" s="98">
        <v>3.9</v>
      </c>
      <c r="BF436" s="98">
        <v>35.200000000000003</v>
      </c>
      <c r="BG436" s="98">
        <v>4.2</v>
      </c>
      <c r="BI436" s="93">
        <v>39.299999999999997</v>
      </c>
      <c r="BJ436" s="98">
        <v>7.2</v>
      </c>
      <c r="BK436" s="98">
        <v>33</v>
      </c>
      <c r="BL436" s="98">
        <v>18</v>
      </c>
      <c r="BM436" s="98">
        <v>30.1</v>
      </c>
      <c r="BN436" s="98">
        <v>3.7</v>
      </c>
      <c r="BO436" s="99">
        <v>38.6</v>
      </c>
      <c r="BP436" s="98">
        <v>2.6</v>
      </c>
      <c r="BQ436" s="99">
        <v>38.200000000000003</v>
      </c>
      <c r="BR436" s="98">
        <v>2.5</v>
      </c>
      <c r="CD436" s="3"/>
      <c r="CE436" s="3"/>
      <c r="CF436" s="3"/>
    </row>
    <row r="437" spans="1:84" s="98" customFormat="1">
      <c r="A437" s="3" t="s">
        <v>595</v>
      </c>
      <c r="B437" s="3" t="s">
        <v>268</v>
      </c>
      <c r="C437" s="3"/>
      <c r="D437" s="93">
        <v>7.0220000000000002</v>
      </c>
      <c r="E437" s="94">
        <v>0.91200000000000003</v>
      </c>
      <c r="F437" s="94">
        <v>1.2E-2</v>
      </c>
      <c r="G437" s="95">
        <v>34.47</v>
      </c>
      <c r="H437" s="96">
        <v>0.89</v>
      </c>
      <c r="I437" s="97">
        <v>0.27610000000000001</v>
      </c>
      <c r="J437" s="95">
        <v>6.4999999999999997E-3</v>
      </c>
      <c r="K437" s="96">
        <v>0.32522000000000001</v>
      </c>
      <c r="M437" s="99">
        <v>1572</v>
      </c>
      <c r="N437" s="98">
        <v>33</v>
      </c>
      <c r="O437" s="99">
        <v>5106.8</v>
      </c>
      <c r="P437" s="98">
        <v>9.3000000000000007</v>
      </c>
      <c r="Q437" s="98">
        <v>69.25</v>
      </c>
      <c r="R437" s="97">
        <v>0.72</v>
      </c>
      <c r="T437" s="98" t="s">
        <v>250</v>
      </c>
      <c r="U437" s="98" t="s">
        <v>250</v>
      </c>
      <c r="V437" s="98">
        <v>42.2</v>
      </c>
      <c r="W437" s="98">
        <v>7</v>
      </c>
      <c r="X437" s="98">
        <v>75.900000000000006</v>
      </c>
      <c r="Y437" s="98">
        <v>5.6</v>
      </c>
      <c r="Z437" s="98">
        <v>36.299999999999997</v>
      </c>
      <c r="AA437" s="98">
        <v>4.0999999999999996</v>
      </c>
      <c r="AB437" s="98">
        <v>35.4</v>
      </c>
      <c r="AC437" s="98">
        <v>3.9</v>
      </c>
      <c r="AD437" s="98">
        <v>36.6</v>
      </c>
      <c r="AE437" s="98">
        <v>5</v>
      </c>
      <c r="AF437" s="95">
        <v>34.200000000000003</v>
      </c>
      <c r="AG437" s="98">
        <v>3.2</v>
      </c>
      <c r="AH437" s="96">
        <v>39.6</v>
      </c>
      <c r="AI437" s="96">
        <v>4.2</v>
      </c>
      <c r="AJ437" s="95">
        <v>36.5</v>
      </c>
      <c r="AK437" s="95">
        <v>3.3</v>
      </c>
      <c r="AL437" s="96">
        <v>30</v>
      </c>
      <c r="AM437" s="96">
        <v>3.3</v>
      </c>
      <c r="AN437" s="96">
        <v>34.6</v>
      </c>
      <c r="AO437" s="96">
        <v>3.9</v>
      </c>
      <c r="AP437" s="96">
        <v>35.1</v>
      </c>
      <c r="AQ437" s="96">
        <v>4.7</v>
      </c>
      <c r="AR437" s="96">
        <v>36.4</v>
      </c>
      <c r="AS437" s="93">
        <v>6.4</v>
      </c>
      <c r="AT437" s="96">
        <v>34.6</v>
      </c>
      <c r="AU437" s="96">
        <v>2.6</v>
      </c>
      <c r="AV437" s="99">
        <v>40.299999999999997</v>
      </c>
      <c r="AW437" s="98">
        <v>6.7</v>
      </c>
      <c r="AX437" s="98">
        <v>34.4</v>
      </c>
      <c r="AY437" s="98">
        <v>4.5</v>
      </c>
      <c r="AZ437" s="98">
        <v>34.700000000000003</v>
      </c>
      <c r="BA437" s="98">
        <v>3.9</v>
      </c>
      <c r="BB437" s="98">
        <v>34.5</v>
      </c>
      <c r="BC437" s="98">
        <v>5.0999999999999996</v>
      </c>
      <c r="BD437" s="98">
        <v>35.5</v>
      </c>
      <c r="BE437" s="98">
        <v>6.1</v>
      </c>
      <c r="BF437" s="98">
        <v>34.5</v>
      </c>
      <c r="BG437" s="98">
        <v>4.7</v>
      </c>
      <c r="BI437" s="93">
        <v>37.299999999999997</v>
      </c>
      <c r="BJ437" s="98">
        <v>8.1</v>
      </c>
      <c r="BK437" s="98">
        <v>41</v>
      </c>
      <c r="BL437" s="98">
        <v>13</v>
      </c>
      <c r="BM437" s="98">
        <v>28.3</v>
      </c>
      <c r="BN437" s="98">
        <v>4.8</v>
      </c>
      <c r="BO437" s="99">
        <v>37.700000000000003</v>
      </c>
      <c r="BP437" s="98">
        <v>3.1</v>
      </c>
      <c r="BQ437" s="99">
        <v>37.4</v>
      </c>
      <c r="BR437" s="98">
        <v>3.2</v>
      </c>
      <c r="CD437" s="3"/>
      <c r="CE437" s="3"/>
      <c r="CF437" s="3"/>
    </row>
    <row r="438" spans="1:84" s="98" customFormat="1">
      <c r="A438" s="3" t="s">
        <v>596</v>
      </c>
      <c r="B438" s="3" t="s">
        <v>268</v>
      </c>
      <c r="C438" s="3"/>
      <c r="D438" s="93">
        <v>7.0129999999999999</v>
      </c>
      <c r="E438" s="94">
        <v>0.91</v>
      </c>
      <c r="F438" s="94">
        <v>1.7999999999999999E-2</v>
      </c>
      <c r="G438" s="95">
        <v>34.03</v>
      </c>
      <c r="H438" s="96">
        <v>0.89</v>
      </c>
      <c r="I438" s="97">
        <v>0.2717</v>
      </c>
      <c r="J438" s="95">
        <v>7.1999999999999998E-3</v>
      </c>
      <c r="K438" s="96">
        <v>0.13172</v>
      </c>
      <c r="M438" s="99">
        <v>1549</v>
      </c>
      <c r="N438" s="98">
        <v>36</v>
      </c>
      <c r="O438" s="99">
        <v>5109</v>
      </c>
      <c r="P438" s="98">
        <v>14</v>
      </c>
      <c r="Q438" s="98">
        <v>69.62</v>
      </c>
      <c r="R438" s="97">
        <v>0.72199999999999998</v>
      </c>
      <c r="T438" s="98">
        <v>160</v>
      </c>
      <c r="U438" s="98">
        <v>240</v>
      </c>
      <c r="V438" s="98">
        <v>40.799999999999997</v>
      </c>
      <c r="W438" s="98">
        <v>7.1</v>
      </c>
      <c r="X438" s="98">
        <v>70.5</v>
      </c>
      <c r="Y438" s="98">
        <v>9.5</v>
      </c>
      <c r="Z438" s="98">
        <v>32.9</v>
      </c>
      <c r="AA438" s="98">
        <v>4.2</v>
      </c>
      <c r="AB438" s="98">
        <v>34.6</v>
      </c>
      <c r="AC438" s="98">
        <v>3.9</v>
      </c>
      <c r="AD438" s="98">
        <v>33</v>
      </c>
      <c r="AE438" s="98">
        <v>4.3</v>
      </c>
      <c r="AF438" s="95">
        <v>31.9</v>
      </c>
      <c r="AG438" s="98">
        <v>3.5</v>
      </c>
      <c r="AH438" s="96">
        <v>37</v>
      </c>
      <c r="AI438" s="96">
        <v>4.3</v>
      </c>
      <c r="AJ438" s="95">
        <v>34.299999999999997</v>
      </c>
      <c r="AK438" s="95">
        <v>3.5</v>
      </c>
      <c r="AL438" s="96">
        <v>31.5</v>
      </c>
      <c r="AM438" s="96">
        <v>5</v>
      </c>
      <c r="AN438" s="96">
        <v>33.1</v>
      </c>
      <c r="AO438" s="96">
        <v>4.5</v>
      </c>
      <c r="AP438" s="96">
        <v>31.8</v>
      </c>
      <c r="AQ438" s="96">
        <v>3.8</v>
      </c>
      <c r="AR438" s="96">
        <v>34</v>
      </c>
      <c r="AS438" s="93">
        <v>5.9</v>
      </c>
      <c r="AT438" s="96">
        <v>33</v>
      </c>
      <c r="AU438" s="96">
        <v>4.5</v>
      </c>
      <c r="AV438" s="99">
        <v>32.5</v>
      </c>
      <c r="AW438" s="98">
        <v>5.6</v>
      </c>
      <c r="AX438" s="98">
        <v>34.1</v>
      </c>
      <c r="AY438" s="98">
        <v>2.9</v>
      </c>
      <c r="AZ438" s="98">
        <v>33.799999999999997</v>
      </c>
      <c r="BA438" s="98">
        <v>4</v>
      </c>
      <c r="BB438" s="98">
        <v>29.3</v>
      </c>
      <c r="BC438" s="98">
        <v>2.4</v>
      </c>
      <c r="BD438" s="98">
        <v>34.5</v>
      </c>
      <c r="BE438" s="98">
        <v>4.3</v>
      </c>
      <c r="BF438" s="98">
        <v>32.5</v>
      </c>
      <c r="BG438" s="98">
        <v>3.2</v>
      </c>
      <c r="BI438" s="93">
        <v>37.1</v>
      </c>
      <c r="BJ438" s="98">
        <v>7.1</v>
      </c>
      <c r="BK438" s="98">
        <v>28.7</v>
      </c>
      <c r="BL438" s="98">
        <v>8</v>
      </c>
      <c r="BM438" s="98">
        <v>35.799999999999997</v>
      </c>
      <c r="BN438" s="98">
        <v>6.4</v>
      </c>
      <c r="BO438" s="99">
        <v>36.299999999999997</v>
      </c>
      <c r="BP438" s="98">
        <v>3.2</v>
      </c>
      <c r="BQ438" s="99">
        <v>35.6</v>
      </c>
      <c r="BR438" s="98">
        <v>3.1</v>
      </c>
      <c r="CD438" s="3"/>
      <c r="CE438" s="3"/>
      <c r="CF438" s="3"/>
    </row>
    <row r="439" spans="1:84" s="98" customFormat="1">
      <c r="A439" s="3" t="s">
        <v>597</v>
      </c>
      <c r="B439" s="3" t="s">
        <v>268</v>
      </c>
      <c r="C439" s="3"/>
      <c r="D439" s="93">
        <v>7.0190000000000001</v>
      </c>
      <c r="E439" s="94">
        <v>0.91100000000000003</v>
      </c>
      <c r="F439" s="94">
        <v>1.0999999999999999E-2</v>
      </c>
      <c r="G439" s="95">
        <v>34.36</v>
      </c>
      <c r="H439" s="96">
        <v>0.93</v>
      </c>
      <c r="I439" s="97">
        <v>0.27389999999999998</v>
      </c>
      <c r="J439" s="95">
        <v>6.4999999999999997E-3</v>
      </c>
      <c r="K439" s="96">
        <v>0.47516000000000003</v>
      </c>
      <c r="M439" s="99">
        <v>1561</v>
      </c>
      <c r="N439" s="98">
        <v>33</v>
      </c>
      <c r="O439" s="99">
        <v>5106.3999999999996</v>
      </c>
      <c r="P439" s="98">
        <v>8.3000000000000007</v>
      </c>
      <c r="Q439" s="98">
        <v>69.44</v>
      </c>
      <c r="R439" s="97">
        <v>0.72199999999999998</v>
      </c>
      <c r="T439" s="98">
        <v>80</v>
      </c>
      <c r="U439" s="98">
        <v>170</v>
      </c>
      <c r="V439" s="98">
        <v>45.4</v>
      </c>
      <c r="W439" s="98">
        <v>7</v>
      </c>
      <c r="X439" s="98">
        <v>83.5</v>
      </c>
      <c r="Y439" s="98">
        <v>7.3</v>
      </c>
      <c r="Z439" s="98">
        <v>36.6</v>
      </c>
      <c r="AA439" s="98">
        <v>3.4</v>
      </c>
      <c r="AB439" s="98">
        <v>34.4</v>
      </c>
      <c r="AC439" s="98">
        <v>2.7</v>
      </c>
      <c r="AD439" s="98">
        <v>37.5</v>
      </c>
      <c r="AE439" s="98">
        <v>5.8</v>
      </c>
      <c r="AF439" s="95">
        <v>35.9</v>
      </c>
      <c r="AG439" s="98">
        <v>2.1</v>
      </c>
      <c r="AH439" s="96">
        <v>41.4</v>
      </c>
      <c r="AI439" s="96">
        <v>4</v>
      </c>
      <c r="AJ439" s="95">
        <v>38</v>
      </c>
      <c r="AK439" s="95">
        <v>2.2000000000000002</v>
      </c>
      <c r="AL439" s="96">
        <v>35.1</v>
      </c>
      <c r="AM439" s="96">
        <v>4.3</v>
      </c>
      <c r="AN439" s="96">
        <v>37.299999999999997</v>
      </c>
      <c r="AO439" s="96">
        <v>5.5</v>
      </c>
      <c r="AP439" s="96">
        <v>35</v>
      </c>
      <c r="AQ439" s="96">
        <v>3.3</v>
      </c>
      <c r="AR439" s="96">
        <v>35.299999999999997</v>
      </c>
      <c r="AS439" s="93">
        <v>5.6</v>
      </c>
      <c r="AT439" s="96">
        <v>39.5</v>
      </c>
      <c r="AU439" s="96">
        <v>3.1</v>
      </c>
      <c r="AV439" s="99">
        <v>34</v>
      </c>
      <c r="AW439" s="98">
        <v>5.2</v>
      </c>
      <c r="AX439" s="98">
        <v>37.799999999999997</v>
      </c>
      <c r="AY439" s="98">
        <v>3.8</v>
      </c>
      <c r="AZ439" s="98">
        <v>37.200000000000003</v>
      </c>
      <c r="BA439" s="98">
        <v>5.0999999999999996</v>
      </c>
      <c r="BB439" s="98">
        <v>38.200000000000003</v>
      </c>
      <c r="BC439" s="98">
        <v>3.2</v>
      </c>
      <c r="BD439" s="98">
        <v>32.4</v>
      </c>
      <c r="BE439" s="98">
        <v>4.3</v>
      </c>
      <c r="BF439" s="98">
        <v>36.200000000000003</v>
      </c>
      <c r="BG439" s="98">
        <v>2.2999999999999998</v>
      </c>
      <c r="BI439" s="93">
        <v>35</v>
      </c>
      <c r="BJ439" s="98">
        <v>9.1999999999999993</v>
      </c>
      <c r="BK439" s="98">
        <v>37.799999999999997</v>
      </c>
      <c r="BL439" s="98">
        <v>9.6</v>
      </c>
      <c r="BM439" s="98">
        <v>36</v>
      </c>
      <c r="BN439" s="98">
        <v>7.8</v>
      </c>
      <c r="BO439" s="99">
        <v>39.9</v>
      </c>
      <c r="BP439" s="98">
        <v>1.8</v>
      </c>
      <c r="BQ439" s="99">
        <v>38.9</v>
      </c>
      <c r="BR439" s="98">
        <v>1.7</v>
      </c>
      <c r="CD439" s="3"/>
      <c r="CE439" s="3"/>
      <c r="CF439" s="3"/>
    </row>
    <row r="440" spans="1:84" s="98" customFormat="1">
      <c r="A440" s="3" t="s">
        <v>598</v>
      </c>
      <c r="B440" s="3" t="s">
        <v>268</v>
      </c>
      <c r="C440" s="3"/>
      <c r="D440" s="93">
        <v>7.0090000000000003</v>
      </c>
      <c r="E440" s="94">
        <v>0.89400000000000002</v>
      </c>
      <c r="F440" s="94">
        <v>3.7999999999999999E-2</v>
      </c>
      <c r="G440" s="95">
        <v>32.700000000000003</v>
      </c>
      <c r="H440" s="96">
        <v>1.9</v>
      </c>
      <c r="I440" s="97">
        <v>0.2636</v>
      </c>
      <c r="J440" s="95">
        <v>8.0000000000000002E-3</v>
      </c>
      <c r="K440" s="96">
        <v>0.97267000000000003</v>
      </c>
      <c r="M440" s="99">
        <v>1508</v>
      </c>
      <c r="N440" s="98">
        <v>41</v>
      </c>
      <c r="O440" s="99">
        <v>5069</v>
      </c>
      <c r="P440" s="98">
        <v>74</v>
      </c>
      <c r="Q440" s="98">
        <v>70.239999999999995</v>
      </c>
      <c r="R440" s="97">
        <v>0.71499999999999997</v>
      </c>
      <c r="T440" s="98">
        <v>180</v>
      </c>
      <c r="U440" s="98">
        <v>220</v>
      </c>
      <c r="V440" s="98">
        <v>32.299999999999997</v>
      </c>
      <c r="W440" s="98">
        <v>5.5</v>
      </c>
      <c r="X440" s="98">
        <v>79.400000000000006</v>
      </c>
      <c r="Y440" s="98">
        <v>6.3</v>
      </c>
      <c r="Z440" s="98">
        <v>35</v>
      </c>
      <c r="AA440" s="98">
        <v>4.3</v>
      </c>
      <c r="AB440" s="98">
        <v>35.5</v>
      </c>
      <c r="AC440" s="98">
        <v>4.0999999999999996</v>
      </c>
      <c r="AD440" s="98">
        <v>38.4</v>
      </c>
      <c r="AE440" s="98">
        <v>4.3</v>
      </c>
      <c r="AF440" s="95">
        <v>35</v>
      </c>
      <c r="AG440" s="98">
        <v>1.5</v>
      </c>
      <c r="AH440" s="96">
        <v>40.5</v>
      </c>
      <c r="AI440" s="96">
        <v>4.4000000000000004</v>
      </c>
      <c r="AJ440" s="95">
        <v>37.1</v>
      </c>
      <c r="AK440" s="95">
        <v>2.5</v>
      </c>
      <c r="AL440" s="96">
        <v>36.299999999999997</v>
      </c>
      <c r="AM440" s="96">
        <v>4.2</v>
      </c>
      <c r="AN440" s="96">
        <v>40.299999999999997</v>
      </c>
      <c r="AO440" s="96">
        <v>5.6</v>
      </c>
      <c r="AP440" s="96">
        <v>34.1</v>
      </c>
      <c r="AQ440" s="96">
        <v>2.8</v>
      </c>
      <c r="AR440" s="96">
        <v>34.4</v>
      </c>
      <c r="AS440" s="93">
        <v>5.3</v>
      </c>
      <c r="AT440" s="96">
        <v>37.4</v>
      </c>
      <c r="AU440" s="96">
        <v>4.2</v>
      </c>
      <c r="AV440" s="99">
        <v>31.2</v>
      </c>
      <c r="AW440" s="98">
        <v>4.9000000000000004</v>
      </c>
      <c r="AX440" s="98">
        <v>35.799999999999997</v>
      </c>
      <c r="AY440" s="98">
        <v>2.8</v>
      </c>
      <c r="AZ440" s="98">
        <v>32.9</v>
      </c>
      <c r="BA440" s="98">
        <v>4.5</v>
      </c>
      <c r="BB440" s="98">
        <v>36.6</v>
      </c>
      <c r="BC440" s="98">
        <v>2.1</v>
      </c>
      <c r="BD440" s="98">
        <v>38.9</v>
      </c>
      <c r="BE440" s="98">
        <v>5.7</v>
      </c>
      <c r="BF440" s="98">
        <v>39</v>
      </c>
      <c r="BG440" s="98">
        <v>3.2</v>
      </c>
      <c r="BI440" s="93">
        <v>41.3</v>
      </c>
      <c r="BJ440" s="98">
        <v>8.9</v>
      </c>
      <c r="BK440" s="98">
        <v>45</v>
      </c>
      <c r="BL440" s="98">
        <v>16</v>
      </c>
      <c r="BM440" s="98">
        <v>37.1</v>
      </c>
      <c r="BN440" s="98">
        <v>5.5</v>
      </c>
      <c r="BO440" s="99">
        <v>36</v>
      </c>
      <c r="BP440" s="98">
        <v>2.2999999999999998</v>
      </c>
      <c r="BQ440" s="99">
        <v>34.200000000000003</v>
      </c>
      <c r="BR440" s="98">
        <v>2.2000000000000002</v>
      </c>
      <c r="CD440" s="3"/>
      <c r="CE440" s="3"/>
      <c r="CF440" s="3"/>
    </row>
    <row r="441" spans="1:84" s="98" customFormat="1">
      <c r="A441" s="3"/>
      <c r="B441" s="3"/>
      <c r="C441" s="3"/>
      <c r="D441" s="93"/>
      <c r="E441" s="94"/>
      <c r="F441" s="94"/>
      <c r="G441" s="95"/>
      <c r="H441" s="96"/>
      <c r="I441" s="97"/>
      <c r="J441" s="95"/>
      <c r="K441" s="96"/>
      <c r="M441" s="99"/>
      <c r="O441" s="99"/>
      <c r="R441" s="97"/>
      <c r="AF441" s="95"/>
      <c r="AH441" s="96"/>
      <c r="AI441" s="96"/>
      <c r="AJ441" s="95"/>
      <c r="AK441" s="95"/>
      <c r="AL441" s="96"/>
      <c r="AM441" s="96"/>
      <c r="AN441" s="96"/>
      <c r="AO441" s="96"/>
      <c r="AP441" s="96"/>
      <c r="AQ441" s="96"/>
      <c r="AR441" s="96"/>
      <c r="AS441" s="93"/>
      <c r="AT441" s="96"/>
      <c r="AU441" s="96"/>
      <c r="AV441" s="99"/>
      <c r="BI441" s="93"/>
      <c r="BO441" s="99"/>
      <c r="BQ441" s="99"/>
      <c r="CD441" s="3"/>
      <c r="CE441" s="3"/>
      <c r="CF441" s="3"/>
    </row>
    <row r="442" spans="1:84" s="98" customFormat="1">
      <c r="A442" s="3" t="s">
        <v>599</v>
      </c>
      <c r="B442" s="92" t="s">
        <v>244</v>
      </c>
      <c r="C442" s="3"/>
      <c r="D442" s="93">
        <v>11.023</v>
      </c>
      <c r="E442" s="94">
        <v>0.16517999999999999</v>
      </c>
      <c r="F442" s="94">
        <v>5.6999999999999998E-4</v>
      </c>
      <c r="G442" s="95">
        <v>10.95</v>
      </c>
      <c r="H442" s="96">
        <v>0.33</v>
      </c>
      <c r="I442" s="97">
        <v>0.48039999999999999</v>
      </c>
      <c r="J442" s="95">
        <v>1.4E-2</v>
      </c>
      <c r="K442" s="96">
        <v>0.95848999999999995</v>
      </c>
      <c r="M442" s="99">
        <v>2529</v>
      </c>
      <c r="N442" s="98">
        <v>59</v>
      </c>
      <c r="O442" s="99">
        <v>2509.3000000000002</v>
      </c>
      <c r="P442" s="98">
        <v>1.9</v>
      </c>
      <c r="Q442" s="98">
        <v>-0.78</v>
      </c>
      <c r="R442" s="97">
        <v>2.2000000000000001E-3</v>
      </c>
      <c r="T442" s="98">
        <v>230</v>
      </c>
      <c r="U442" s="98">
        <v>120</v>
      </c>
      <c r="V442" s="98">
        <v>0.6</v>
      </c>
      <c r="W442" s="98">
        <v>0.99</v>
      </c>
      <c r="X442" s="98">
        <v>0.25</v>
      </c>
      <c r="Y442" s="98">
        <v>0.19</v>
      </c>
      <c r="Z442" s="98">
        <v>3.66</v>
      </c>
      <c r="AA442" s="98">
        <v>0.83</v>
      </c>
      <c r="AB442" s="98">
        <v>1.94</v>
      </c>
      <c r="AC442" s="98">
        <v>0.6</v>
      </c>
      <c r="AD442" s="98">
        <v>462</v>
      </c>
      <c r="AE442" s="98">
        <v>33</v>
      </c>
      <c r="AF442" s="95">
        <v>0.33</v>
      </c>
      <c r="AG442" s="98">
        <v>0.15</v>
      </c>
      <c r="AH442" s="96">
        <v>32.6</v>
      </c>
      <c r="AI442" s="96">
        <v>3.2</v>
      </c>
      <c r="AJ442" s="95">
        <v>0.13100000000000001</v>
      </c>
      <c r="AK442" s="95">
        <v>6.5000000000000002E-2</v>
      </c>
      <c r="AL442" s="96">
        <v>0.77</v>
      </c>
      <c r="AM442" s="96">
        <v>0.54</v>
      </c>
      <c r="AN442" s="96">
        <v>1.43</v>
      </c>
      <c r="AO442" s="96">
        <v>0.44</v>
      </c>
      <c r="AP442" s="96">
        <v>0.37</v>
      </c>
      <c r="AQ442" s="96">
        <v>0.2</v>
      </c>
      <c r="AR442" s="96">
        <v>9.1999999999999993</v>
      </c>
      <c r="AS442" s="93">
        <v>2.2000000000000002</v>
      </c>
      <c r="AT442" s="96">
        <v>2.83</v>
      </c>
      <c r="AU442" s="96">
        <v>0.33</v>
      </c>
      <c r="AV442" s="99">
        <v>38.4</v>
      </c>
      <c r="AW442" s="98">
        <v>3.9</v>
      </c>
      <c r="AX442" s="98">
        <v>14.6</v>
      </c>
      <c r="AY442" s="98">
        <v>1.3</v>
      </c>
      <c r="AZ442" s="98">
        <v>72.7</v>
      </c>
      <c r="BA442" s="98">
        <v>4.0999999999999996</v>
      </c>
      <c r="BB442" s="98">
        <v>16.8</v>
      </c>
      <c r="BC442" s="98">
        <v>1.2</v>
      </c>
      <c r="BD442" s="98">
        <v>166</v>
      </c>
      <c r="BE442" s="98">
        <v>12</v>
      </c>
      <c r="BF442" s="98">
        <v>36.700000000000003</v>
      </c>
      <c r="BG442" s="98">
        <v>3</v>
      </c>
      <c r="BI442" s="93">
        <v>12</v>
      </c>
      <c r="BJ442" s="98">
        <v>3.1</v>
      </c>
      <c r="BK442" s="98">
        <v>521000</v>
      </c>
      <c r="BL442" s="98">
        <v>45000</v>
      </c>
      <c r="BM442" s="98">
        <v>11500</v>
      </c>
      <c r="BN442" s="98">
        <v>1100</v>
      </c>
      <c r="BO442" s="99">
        <v>152.6</v>
      </c>
      <c r="BP442" s="98">
        <v>8.1</v>
      </c>
      <c r="BQ442" s="99">
        <v>328</v>
      </c>
      <c r="BR442" s="98">
        <v>17</v>
      </c>
      <c r="CD442" s="3"/>
      <c r="CE442" s="3"/>
      <c r="CF442" s="3"/>
    </row>
    <row r="443" spans="1:84" s="98" customFormat="1">
      <c r="A443" s="3" t="s">
        <v>600</v>
      </c>
      <c r="B443" s="92" t="s">
        <v>244</v>
      </c>
      <c r="C443" s="3"/>
      <c r="D443" s="93">
        <v>11.03</v>
      </c>
      <c r="E443" s="94">
        <v>0.16461000000000001</v>
      </c>
      <c r="F443" s="94">
        <v>5.6999999999999998E-4</v>
      </c>
      <c r="G443" s="95">
        <v>10.904999999999999</v>
      </c>
      <c r="H443" s="96">
        <v>0.33</v>
      </c>
      <c r="I443" s="97">
        <v>0.4819</v>
      </c>
      <c r="J443" s="95">
        <v>1.4E-2</v>
      </c>
      <c r="K443" s="96">
        <v>0.94910000000000005</v>
      </c>
      <c r="M443" s="99">
        <v>2535</v>
      </c>
      <c r="N443" s="98">
        <v>59</v>
      </c>
      <c r="O443" s="99">
        <v>2503.8000000000002</v>
      </c>
      <c r="P443" s="98">
        <v>2.4</v>
      </c>
      <c r="Q443" s="98">
        <v>-1.27</v>
      </c>
      <c r="R443" s="97">
        <v>1.64E-3</v>
      </c>
      <c r="T443" s="98">
        <v>370</v>
      </c>
      <c r="U443" s="98">
        <v>140</v>
      </c>
      <c r="V443" s="98">
        <v>0.75</v>
      </c>
      <c r="W443" s="98">
        <v>0.95</v>
      </c>
      <c r="X443" s="98">
        <v>0.45</v>
      </c>
      <c r="Y443" s="98">
        <v>0.27</v>
      </c>
      <c r="Z443" s="98">
        <v>4.9000000000000004</v>
      </c>
      <c r="AA443" s="98">
        <v>1.1000000000000001</v>
      </c>
      <c r="AB443" s="98">
        <v>2.97</v>
      </c>
      <c r="AC443" s="98">
        <v>0.74</v>
      </c>
      <c r="AD443" s="98">
        <v>895</v>
      </c>
      <c r="AE443" s="98">
        <v>75</v>
      </c>
      <c r="AF443" s="95">
        <v>1.1100000000000001</v>
      </c>
      <c r="AG443" s="98">
        <v>0.33</v>
      </c>
      <c r="AH443" s="96">
        <v>61.3</v>
      </c>
      <c r="AI443" s="96">
        <v>6.3</v>
      </c>
      <c r="AJ443" s="95">
        <v>0.42</v>
      </c>
      <c r="AK443" s="95">
        <v>0.11</v>
      </c>
      <c r="AL443" s="96">
        <v>3.6</v>
      </c>
      <c r="AM443" s="96">
        <v>1.1000000000000001</v>
      </c>
      <c r="AN443" s="96">
        <v>3.7</v>
      </c>
      <c r="AO443" s="96">
        <v>1</v>
      </c>
      <c r="AP443" s="96">
        <v>0.72</v>
      </c>
      <c r="AQ443" s="96">
        <v>0.24</v>
      </c>
      <c r="AR443" s="96">
        <v>22.7</v>
      </c>
      <c r="AS443" s="93">
        <v>3.2</v>
      </c>
      <c r="AT443" s="96">
        <v>6.89</v>
      </c>
      <c r="AU443" s="96">
        <v>0.95</v>
      </c>
      <c r="AV443" s="99">
        <v>78.8</v>
      </c>
      <c r="AW443" s="98">
        <v>6.7</v>
      </c>
      <c r="AX443" s="98">
        <v>28.6</v>
      </c>
      <c r="AY443" s="98">
        <v>2.7</v>
      </c>
      <c r="AZ443" s="98">
        <v>136</v>
      </c>
      <c r="BA443" s="98">
        <v>10</v>
      </c>
      <c r="BB443" s="98">
        <v>28.2</v>
      </c>
      <c r="BC443" s="98">
        <v>2.2999999999999998</v>
      </c>
      <c r="BD443" s="98">
        <v>266</v>
      </c>
      <c r="BE443" s="98">
        <v>25</v>
      </c>
      <c r="BF443" s="98">
        <v>51.2</v>
      </c>
      <c r="BG443" s="98">
        <v>4.4000000000000004</v>
      </c>
      <c r="BI443" s="93">
        <v>10.3</v>
      </c>
      <c r="BJ443" s="98">
        <v>2.6</v>
      </c>
      <c r="BK443" s="98">
        <v>560000</v>
      </c>
      <c r="BL443" s="98">
        <v>59000</v>
      </c>
      <c r="BM443" s="98">
        <v>10900</v>
      </c>
      <c r="BN443" s="98">
        <v>990</v>
      </c>
      <c r="BO443" s="99">
        <v>281</v>
      </c>
      <c r="BP443" s="98">
        <v>22</v>
      </c>
      <c r="BQ443" s="99">
        <v>365</v>
      </c>
      <c r="BR443" s="98">
        <v>28</v>
      </c>
      <c r="CD443" s="3"/>
      <c r="CE443" s="3"/>
      <c r="CF443" s="3"/>
    </row>
    <row r="444" spans="1:84" s="98" customFormat="1">
      <c r="A444" s="3" t="s">
        <v>601</v>
      </c>
      <c r="B444" s="92" t="s">
        <v>244</v>
      </c>
      <c r="C444" s="3"/>
      <c r="D444" s="93">
        <v>11.042999999999999</v>
      </c>
      <c r="E444" s="94">
        <v>0.16472000000000001</v>
      </c>
      <c r="F444" s="94">
        <v>8.0000000000000004E-4</v>
      </c>
      <c r="G444" s="95">
        <v>11.09</v>
      </c>
      <c r="H444" s="96">
        <v>0.34</v>
      </c>
      <c r="I444" s="97">
        <v>0.49120000000000003</v>
      </c>
      <c r="J444" s="95">
        <v>1.4E-2</v>
      </c>
      <c r="K444" s="96">
        <v>0.89759999999999995</v>
      </c>
      <c r="M444" s="99">
        <v>2576</v>
      </c>
      <c r="N444" s="98">
        <v>60</v>
      </c>
      <c r="O444" s="99">
        <v>2505.1</v>
      </c>
      <c r="P444" s="98">
        <v>4</v>
      </c>
      <c r="Q444" s="98">
        <v>-2.81</v>
      </c>
      <c r="R444" s="97">
        <v>2.2000000000000001E-4</v>
      </c>
      <c r="T444" s="98">
        <v>320</v>
      </c>
      <c r="U444" s="98">
        <v>160</v>
      </c>
      <c r="V444" s="98">
        <v>1.7</v>
      </c>
      <c r="W444" s="98">
        <v>1.6</v>
      </c>
      <c r="X444" s="98">
        <v>0.47</v>
      </c>
      <c r="Y444" s="98">
        <v>0.33</v>
      </c>
      <c r="Z444" s="98">
        <v>3.14</v>
      </c>
      <c r="AA444" s="98">
        <v>0.77</v>
      </c>
      <c r="AB444" s="98">
        <v>1.35</v>
      </c>
      <c r="AC444" s="98">
        <v>0.36</v>
      </c>
      <c r="AD444" s="98">
        <v>613</v>
      </c>
      <c r="AE444" s="98">
        <v>60</v>
      </c>
      <c r="AF444" s="95">
        <v>2.02</v>
      </c>
      <c r="AG444" s="98">
        <v>0.37</v>
      </c>
      <c r="AH444" s="96">
        <v>59.1</v>
      </c>
      <c r="AI444" s="96">
        <v>8.3000000000000007</v>
      </c>
      <c r="AJ444" s="95">
        <v>0.97</v>
      </c>
      <c r="AK444" s="95">
        <v>0.23</v>
      </c>
      <c r="AL444" s="96">
        <v>7</v>
      </c>
      <c r="AM444" s="96">
        <v>2.2000000000000002</v>
      </c>
      <c r="AN444" s="96">
        <v>4.2</v>
      </c>
      <c r="AO444" s="96">
        <v>1.7</v>
      </c>
      <c r="AP444" s="96">
        <v>0.74</v>
      </c>
      <c r="AQ444" s="96">
        <v>0.21</v>
      </c>
      <c r="AR444" s="96">
        <v>19.100000000000001</v>
      </c>
      <c r="AS444" s="93">
        <v>3</v>
      </c>
      <c r="AT444" s="96">
        <v>5.89</v>
      </c>
      <c r="AU444" s="96">
        <v>0.91</v>
      </c>
      <c r="AV444" s="99">
        <v>62.2</v>
      </c>
      <c r="AW444" s="98">
        <v>7.2</v>
      </c>
      <c r="AX444" s="98">
        <v>22.2</v>
      </c>
      <c r="AY444" s="98">
        <v>2.2999999999999998</v>
      </c>
      <c r="AZ444" s="98">
        <v>107</v>
      </c>
      <c r="BA444" s="98">
        <v>11</v>
      </c>
      <c r="BB444" s="98">
        <v>21</v>
      </c>
      <c r="BC444" s="98">
        <v>2.2000000000000002</v>
      </c>
      <c r="BD444" s="98">
        <v>189</v>
      </c>
      <c r="BE444" s="98">
        <v>21</v>
      </c>
      <c r="BF444" s="98">
        <v>38.4</v>
      </c>
      <c r="BG444" s="98">
        <v>5.5</v>
      </c>
      <c r="BI444" s="93">
        <v>21.8</v>
      </c>
      <c r="BJ444" s="98">
        <v>5</v>
      </c>
      <c r="BK444" s="98">
        <v>568000</v>
      </c>
      <c r="BL444" s="98">
        <v>74000</v>
      </c>
      <c r="BM444" s="98">
        <v>9980</v>
      </c>
      <c r="BN444" s="98">
        <v>1400</v>
      </c>
      <c r="BO444" s="99">
        <v>163</v>
      </c>
      <c r="BP444" s="98">
        <v>16</v>
      </c>
      <c r="BQ444" s="99">
        <v>173</v>
      </c>
      <c r="BR444" s="98">
        <v>17</v>
      </c>
      <c r="CD444" s="3"/>
      <c r="CE444" s="3"/>
      <c r="CF444" s="3"/>
    </row>
    <row r="445" spans="1:84" s="98" customFormat="1">
      <c r="A445" s="3" t="s">
        <v>602</v>
      </c>
      <c r="B445" s="92" t="s">
        <v>244</v>
      </c>
      <c r="C445" s="3"/>
      <c r="D445" s="93">
        <v>11.022</v>
      </c>
      <c r="E445" s="94">
        <v>0.16667999999999999</v>
      </c>
      <c r="F445" s="94">
        <v>5.5999999999999995E-4</v>
      </c>
      <c r="G445" s="95">
        <v>10.741</v>
      </c>
      <c r="H445" s="96">
        <v>0.32</v>
      </c>
      <c r="I445" s="97">
        <v>0.47060000000000002</v>
      </c>
      <c r="J445" s="95">
        <v>1.2999999999999999E-2</v>
      </c>
      <c r="K445" s="96">
        <v>0.94840999999999998</v>
      </c>
      <c r="M445" s="99">
        <v>2486</v>
      </c>
      <c r="N445" s="98">
        <v>58</v>
      </c>
      <c r="O445" s="99">
        <v>2524.4</v>
      </c>
      <c r="P445" s="98">
        <v>3</v>
      </c>
      <c r="Q445" s="98">
        <v>1.53</v>
      </c>
      <c r="R445" s="97">
        <v>4.3E-3</v>
      </c>
      <c r="T445" s="98">
        <v>250</v>
      </c>
      <c r="U445" s="98">
        <v>100</v>
      </c>
      <c r="V445" s="98">
        <v>0.1</v>
      </c>
      <c r="W445" s="98">
        <v>1.2</v>
      </c>
      <c r="X445" s="98">
        <v>0.1</v>
      </c>
      <c r="Y445" s="98">
        <v>0.11</v>
      </c>
      <c r="Z445" s="98">
        <v>2.84</v>
      </c>
      <c r="AA445" s="98">
        <v>0.78</v>
      </c>
      <c r="AB445" s="98">
        <v>1.26</v>
      </c>
      <c r="AC445" s="98">
        <v>0.39</v>
      </c>
      <c r="AD445" s="98">
        <v>739</v>
      </c>
      <c r="AE445" s="98">
        <v>54</v>
      </c>
      <c r="AF445" s="95">
        <v>0.218</v>
      </c>
      <c r="AG445" s="98">
        <v>6.3E-2</v>
      </c>
      <c r="AH445" s="96">
        <v>45.3</v>
      </c>
      <c r="AI445" s="96">
        <v>4.7</v>
      </c>
      <c r="AJ445" s="95">
        <v>0.10199999999999999</v>
      </c>
      <c r="AK445" s="95">
        <v>3.7999999999999999E-2</v>
      </c>
      <c r="AL445" s="96">
        <v>1.68</v>
      </c>
      <c r="AM445" s="96">
        <v>0.72</v>
      </c>
      <c r="AN445" s="96">
        <v>3.4</v>
      </c>
      <c r="AO445" s="96">
        <v>1.2</v>
      </c>
      <c r="AP445" s="96">
        <v>0.72</v>
      </c>
      <c r="AQ445" s="96">
        <v>0.24</v>
      </c>
      <c r="AR445" s="96">
        <v>16</v>
      </c>
      <c r="AS445" s="93">
        <v>2.8</v>
      </c>
      <c r="AT445" s="96">
        <v>5.49</v>
      </c>
      <c r="AU445" s="96">
        <v>0.68</v>
      </c>
      <c r="AV445" s="99">
        <v>67.099999999999994</v>
      </c>
      <c r="AW445" s="98">
        <v>6.5</v>
      </c>
      <c r="AX445" s="98">
        <v>23.6</v>
      </c>
      <c r="AY445" s="98">
        <v>2.4</v>
      </c>
      <c r="AZ445" s="98">
        <v>120.5</v>
      </c>
      <c r="BA445" s="98">
        <v>9.1999999999999993</v>
      </c>
      <c r="BB445" s="98">
        <v>23.1</v>
      </c>
      <c r="BC445" s="98">
        <v>1.6</v>
      </c>
      <c r="BD445" s="98">
        <v>210</v>
      </c>
      <c r="BE445" s="98">
        <v>19</v>
      </c>
      <c r="BF445" s="98">
        <v>42.7</v>
      </c>
      <c r="BG445" s="98">
        <v>3.6</v>
      </c>
      <c r="BI445" s="93">
        <v>14.7</v>
      </c>
      <c r="BJ445" s="98">
        <v>3</v>
      </c>
      <c r="BK445" s="98">
        <v>541000</v>
      </c>
      <c r="BL445" s="98">
        <v>54000</v>
      </c>
      <c r="BM445" s="98">
        <v>9980</v>
      </c>
      <c r="BN445" s="98">
        <v>860</v>
      </c>
      <c r="BO445" s="99">
        <v>149</v>
      </c>
      <c r="BP445" s="98">
        <v>11</v>
      </c>
      <c r="BQ445" s="99">
        <v>176</v>
      </c>
      <c r="BR445" s="98">
        <v>16</v>
      </c>
      <c r="CD445" s="3"/>
      <c r="CE445" s="3"/>
      <c r="CF445" s="3"/>
    </row>
    <row r="446" spans="1:84" s="98" customFormat="1">
      <c r="A446" s="3" t="s">
        <v>603</v>
      </c>
      <c r="B446" s="92" t="s">
        <v>244</v>
      </c>
      <c r="C446" s="3"/>
      <c r="D446" s="93">
        <v>11.249000000000001</v>
      </c>
      <c r="E446" s="94">
        <v>0.16558999999999999</v>
      </c>
      <c r="F446" s="94">
        <v>4.8999999999999998E-4</v>
      </c>
      <c r="G446" s="95">
        <v>11.8</v>
      </c>
      <c r="H446" s="96">
        <v>0.4</v>
      </c>
      <c r="I446" s="97">
        <v>0.51959999999999995</v>
      </c>
      <c r="J446" s="95">
        <v>1.6E-2</v>
      </c>
      <c r="K446" s="96">
        <v>0.99331999999999998</v>
      </c>
      <c r="M446" s="99">
        <v>2696</v>
      </c>
      <c r="N446" s="98">
        <v>70</v>
      </c>
      <c r="O446" s="99">
        <v>2513.3000000000002</v>
      </c>
      <c r="P446" s="98">
        <v>2.8</v>
      </c>
      <c r="Q446" s="98">
        <v>-7.3</v>
      </c>
      <c r="R446" s="97">
        <v>2.0000000000000002E-5</v>
      </c>
      <c r="T446" s="98">
        <v>270</v>
      </c>
      <c r="U446" s="98">
        <v>150</v>
      </c>
      <c r="V446" s="98" t="s">
        <v>250</v>
      </c>
      <c r="W446" s="98" t="s">
        <v>250</v>
      </c>
      <c r="X446" s="98">
        <v>0.42</v>
      </c>
      <c r="Y446" s="98">
        <v>0.3</v>
      </c>
      <c r="Z446" s="98">
        <v>5.3</v>
      </c>
      <c r="AA446" s="98">
        <v>1.6</v>
      </c>
      <c r="AB446" s="98">
        <v>2.11</v>
      </c>
      <c r="AC446" s="98">
        <v>0.55000000000000004</v>
      </c>
      <c r="AD446" s="98">
        <v>702</v>
      </c>
      <c r="AE446" s="98">
        <v>85</v>
      </c>
      <c r="AF446" s="95">
        <v>1.19</v>
      </c>
      <c r="AG446" s="98">
        <v>0.26</v>
      </c>
      <c r="AH446" s="96">
        <v>51.9</v>
      </c>
      <c r="AI446" s="96">
        <v>5.0999999999999996</v>
      </c>
      <c r="AJ446" s="95">
        <v>0.3</v>
      </c>
      <c r="AK446" s="95">
        <v>8.3000000000000004E-2</v>
      </c>
      <c r="AL446" s="96">
        <v>2.93</v>
      </c>
      <c r="AM446" s="96">
        <v>0.98</v>
      </c>
      <c r="AN446" s="96">
        <v>3.9</v>
      </c>
      <c r="AO446" s="96">
        <v>1</v>
      </c>
      <c r="AP446" s="96">
        <v>0.39</v>
      </c>
      <c r="AQ446" s="96">
        <v>0.21</v>
      </c>
      <c r="AR446" s="96">
        <v>14</v>
      </c>
      <c r="AS446" s="93">
        <v>3</v>
      </c>
      <c r="AT446" s="96">
        <v>4.75</v>
      </c>
      <c r="AU446" s="96">
        <v>0.73</v>
      </c>
      <c r="AV446" s="99">
        <v>59</v>
      </c>
      <c r="AW446" s="98">
        <v>6.8</v>
      </c>
      <c r="AX446" s="98">
        <v>21.9</v>
      </c>
      <c r="AY446" s="98">
        <v>2.2999999999999998</v>
      </c>
      <c r="AZ446" s="98">
        <v>104</v>
      </c>
      <c r="BA446" s="98">
        <v>11</v>
      </c>
      <c r="BB446" s="98">
        <v>21.7</v>
      </c>
      <c r="BC446" s="98">
        <v>2.5</v>
      </c>
      <c r="BD446" s="98">
        <v>196</v>
      </c>
      <c r="BE446" s="98">
        <v>21</v>
      </c>
      <c r="BF446" s="98">
        <v>36.4</v>
      </c>
      <c r="BG446" s="98">
        <v>2.7</v>
      </c>
      <c r="BI446" s="93">
        <v>10.199999999999999</v>
      </c>
      <c r="BJ446" s="98">
        <v>3.8</v>
      </c>
      <c r="BK446" s="98">
        <v>451000</v>
      </c>
      <c r="BL446" s="98">
        <v>42000</v>
      </c>
      <c r="BM446" s="98">
        <v>9400</v>
      </c>
      <c r="BN446" s="98">
        <v>1200</v>
      </c>
      <c r="BO446" s="99">
        <v>242</v>
      </c>
      <c r="BP446" s="98">
        <v>23</v>
      </c>
      <c r="BQ446" s="99">
        <v>339</v>
      </c>
      <c r="BR446" s="98">
        <v>33</v>
      </c>
      <c r="CD446" s="3"/>
      <c r="CE446" s="3"/>
      <c r="CF446" s="3"/>
    </row>
    <row r="447" spans="1:84" s="98" customFormat="1">
      <c r="A447" s="3" t="s">
        <v>604</v>
      </c>
      <c r="B447" s="92" t="s">
        <v>244</v>
      </c>
      <c r="C447" s="3"/>
      <c r="D447" s="93">
        <v>11.004</v>
      </c>
      <c r="E447" s="94">
        <v>0.16628000000000001</v>
      </c>
      <c r="F447" s="94">
        <v>5.5999999999999995E-4</v>
      </c>
      <c r="G447" s="95">
        <v>11.36</v>
      </c>
      <c r="H447" s="96">
        <v>0.34</v>
      </c>
      <c r="I447" s="97">
        <v>0.49709999999999999</v>
      </c>
      <c r="J447" s="95">
        <v>1.4E-2</v>
      </c>
      <c r="K447" s="96">
        <v>0.96138000000000001</v>
      </c>
      <c r="M447" s="99">
        <v>2601</v>
      </c>
      <c r="N447" s="98">
        <v>60</v>
      </c>
      <c r="O447" s="99">
        <v>2520.3000000000002</v>
      </c>
      <c r="P447" s="98">
        <v>3.7</v>
      </c>
      <c r="Q447" s="98">
        <v>-3.21</v>
      </c>
      <c r="R447" s="97">
        <v>1.1E-4</v>
      </c>
      <c r="T447" s="98">
        <v>210</v>
      </c>
      <c r="U447" s="98">
        <v>140</v>
      </c>
      <c r="V447" s="98">
        <v>0.2</v>
      </c>
      <c r="W447" s="98">
        <v>1.6</v>
      </c>
      <c r="X447" s="98">
        <v>0.52</v>
      </c>
      <c r="Y447" s="98">
        <v>0.23</v>
      </c>
      <c r="Z447" s="98">
        <v>2.9</v>
      </c>
      <c r="AA447" s="98">
        <v>0.79</v>
      </c>
      <c r="AB447" s="98">
        <v>1.54</v>
      </c>
      <c r="AC447" s="98">
        <v>0.54</v>
      </c>
      <c r="AD447" s="98">
        <v>613</v>
      </c>
      <c r="AE447" s="98">
        <v>66</v>
      </c>
      <c r="AF447" s="95">
        <v>0.81</v>
      </c>
      <c r="AG447" s="98">
        <v>0.18</v>
      </c>
      <c r="AH447" s="96">
        <v>48.3</v>
      </c>
      <c r="AI447" s="96">
        <v>4.9000000000000004</v>
      </c>
      <c r="AJ447" s="95">
        <v>0.25700000000000001</v>
      </c>
      <c r="AK447" s="95">
        <v>8.1000000000000003E-2</v>
      </c>
      <c r="AL447" s="96">
        <v>1.5</v>
      </c>
      <c r="AM447" s="96">
        <v>0.71</v>
      </c>
      <c r="AN447" s="96">
        <v>1.9</v>
      </c>
      <c r="AO447" s="96">
        <v>0.77</v>
      </c>
      <c r="AP447" s="96">
        <v>0.56999999999999995</v>
      </c>
      <c r="AQ447" s="96">
        <v>0.14000000000000001</v>
      </c>
      <c r="AR447" s="96">
        <v>12.1</v>
      </c>
      <c r="AS447" s="93">
        <v>3.2</v>
      </c>
      <c r="AT447" s="96">
        <v>4.34</v>
      </c>
      <c r="AU447" s="96">
        <v>0.93</v>
      </c>
      <c r="AV447" s="99">
        <v>55.9</v>
      </c>
      <c r="AW447" s="98">
        <v>5.4</v>
      </c>
      <c r="AX447" s="98">
        <v>21.1</v>
      </c>
      <c r="AY447" s="98">
        <v>2.4</v>
      </c>
      <c r="AZ447" s="98">
        <v>94.7</v>
      </c>
      <c r="BA447" s="98">
        <v>8.3000000000000007</v>
      </c>
      <c r="BB447" s="98">
        <v>21.2</v>
      </c>
      <c r="BC447" s="98">
        <v>2.4</v>
      </c>
      <c r="BD447" s="98">
        <v>184</v>
      </c>
      <c r="BE447" s="98">
        <v>16</v>
      </c>
      <c r="BF447" s="98">
        <v>37.299999999999997</v>
      </c>
      <c r="BG447" s="98">
        <v>4.4000000000000004</v>
      </c>
      <c r="BI447" s="93">
        <v>10.6</v>
      </c>
      <c r="BJ447" s="98">
        <v>2.9</v>
      </c>
      <c r="BK447" s="98">
        <v>519000</v>
      </c>
      <c r="BL447" s="98">
        <v>69000</v>
      </c>
      <c r="BM447" s="98">
        <v>8930</v>
      </c>
      <c r="BN447" s="98">
        <v>700</v>
      </c>
      <c r="BO447" s="99">
        <v>181</v>
      </c>
      <c r="BP447" s="98">
        <v>15</v>
      </c>
      <c r="BQ447" s="99">
        <v>245</v>
      </c>
      <c r="BR447" s="98">
        <v>22</v>
      </c>
      <c r="CD447" s="3"/>
      <c r="CE447" s="3"/>
      <c r="CF447" s="3"/>
    </row>
    <row r="448" spans="1:84" s="98" customFormat="1">
      <c r="A448" s="3" t="s">
        <v>605</v>
      </c>
      <c r="B448" s="92" t="s">
        <v>244</v>
      </c>
      <c r="C448" s="3"/>
      <c r="D448" s="93">
        <v>11.013999999999999</v>
      </c>
      <c r="E448" s="94">
        <v>0.16513</v>
      </c>
      <c r="F448" s="94">
        <v>5.6999999999999998E-4</v>
      </c>
      <c r="G448" s="95">
        <v>10.906000000000001</v>
      </c>
      <c r="H448" s="96">
        <v>0.32</v>
      </c>
      <c r="I448" s="97">
        <v>0.48</v>
      </c>
      <c r="J448" s="95">
        <v>1.2999999999999999E-2</v>
      </c>
      <c r="K448" s="96">
        <v>0.74943000000000004</v>
      </c>
      <c r="M448" s="99">
        <v>2527.1</v>
      </c>
      <c r="N448" s="98">
        <v>56</v>
      </c>
      <c r="O448" s="99">
        <v>2508.6</v>
      </c>
      <c r="P448" s="98">
        <v>2.2999999999999998</v>
      </c>
      <c r="Q448" s="98">
        <v>-0.74</v>
      </c>
      <c r="R448" s="97">
        <v>-3.0000000000000001E-6</v>
      </c>
      <c r="T448" s="98">
        <v>260</v>
      </c>
      <c r="U448" s="98">
        <v>120</v>
      </c>
      <c r="V448" s="98" t="s">
        <v>250</v>
      </c>
      <c r="W448" s="98" t="s">
        <v>250</v>
      </c>
      <c r="X448" s="98" t="s">
        <v>250</v>
      </c>
      <c r="Y448" s="98" t="s">
        <v>250</v>
      </c>
      <c r="Z448" s="98">
        <v>3.98</v>
      </c>
      <c r="AA448" s="98">
        <v>0.96</v>
      </c>
      <c r="AB448" s="98">
        <v>1.57</v>
      </c>
      <c r="AC448" s="98">
        <v>0.57999999999999996</v>
      </c>
      <c r="AD448" s="98">
        <v>836</v>
      </c>
      <c r="AE448" s="98">
        <v>92</v>
      </c>
      <c r="AF448" s="95">
        <v>6.5000000000000002E-2</v>
      </c>
      <c r="AG448" s="98">
        <v>4.2999999999999997E-2</v>
      </c>
      <c r="AH448" s="96">
        <v>61.4</v>
      </c>
      <c r="AI448" s="96">
        <v>6</v>
      </c>
      <c r="AJ448" s="95">
        <v>0.124</v>
      </c>
      <c r="AK448" s="95">
        <v>3.7999999999999999E-2</v>
      </c>
      <c r="AL448" s="96">
        <v>2.0299999999999998</v>
      </c>
      <c r="AM448" s="96">
        <v>0.57999999999999996</v>
      </c>
      <c r="AN448" s="96">
        <v>3.6</v>
      </c>
      <c r="AO448" s="96">
        <v>1.3</v>
      </c>
      <c r="AP448" s="96">
        <v>0.7</v>
      </c>
      <c r="AQ448" s="96">
        <v>0.23</v>
      </c>
      <c r="AR448" s="96">
        <v>20.6</v>
      </c>
      <c r="AS448" s="93">
        <v>3.5</v>
      </c>
      <c r="AT448" s="96">
        <v>6.55</v>
      </c>
      <c r="AU448" s="96">
        <v>0.83</v>
      </c>
      <c r="AV448" s="99">
        <v>73.099999999999994</v>
      </c>
      <c r="AW448" s="98">
        <v>6.7</v>
      </c>
      <c r="AX448" s="98">
        <v>27.3</v>
      </c>
      <c r="AY448" s="98">
        <v>2.1</v>
      </c>
      <c r="AZ448" s="98">
        <v>129</v>
      </c>
      <c r="BA448" s="98">
        <v>11</v>
      </c>
      <c r="BB448" s="98">
        <v>24.9</v>
      </c>
      <c r="BC448" s="98">
        <v>1.9</v>
      </c>
      <c r="BD448" s="98">
        <v>224</v>
      </c>
      <c r="BE448" s="98">
        <v>20</v>
      </c>
      <c r="BF448" s="98">
        <v>42.8</v>
      </c>
      <c r="BG448" s="98">
        <v>3</v>
      </c>
      <c r="BI448" s="93">
        <v>18.100000000000001</v>
      </c>
      <c r="BJ448" s="98">
        <v>3.5</v>
      </c>
      <c r="BK448" s="98">
        <v>519000</v>
      </c>
      <c r="BL448" s="98">
        <v>38000</v>
      </c>
      <c r="BM448" s="98">
        <v>9520</v>
      </c>
      <c r="BN448" s="98">
        <v>880</v>
      </c>
      <c r="BO448" s="99">
        <v>247</v>
      </c>
      <c r="BP448" s="98">
        <v>16</v>
      </c>
      <c r="BQ448" s="99">
        <v>268</v>
      </c>
      <c r="BR448" s="98">
        <v>17</v>
      </c>
      <c r="CD448" s="3"/>
      <c r="CE448" s="3"/>
      <c r="CF448" s="3"/>
    </row>
    <row r="449" spans="1:90" s="98" customFormat="1">
      <c r="A449" s="3" t="s">
        <v>606</v>
      </c>
      <c r="B449" s="92" t="s">
        <v>244</v>
      </c>
      <c r="C449" s="3"/>
      <c r="D449" s="93">
        <v>11.048</v>
      </c>
      <c r="E449" s="94">
        <v>0.16477</v>
      </c>
      <c r="F449" s="94">
        <v>6.4999999999999997E-4</v>
      </c>
      <c r="G449" s="95">
        <v>10.622999999999999</v>
      </c>
      <c r="H449" s="96">
        <v>0.31</v>
      </c>
      <c r="I449" s="97">
        <v>0.46844000000000002</v>
      </c>
      <c r="J449" s="95">
        <v>1.2999999999999999E-2</v>
      </c>
      <c r="K449" s="96">
        <v>0.55620999999999998</v>
      </c>
      <c r="M449" s="99">
        <v>2476.6999999999998</v>
      </c>
      <c r="N449" s="98">
        <v>55</v>
      </c>
      <c r="O449" s="99">
        <v>2505.5</v>
      </c>
      <c r="P449" s="98">
        <v>3.2</v>
      </c>
      <c r="Q449" s="98">
        <v>1.1499999999999999</v>
      </c>
      <c r="R449" s="97">
        <v>2.82E-3</v>
      </c>
      <c r="T449" s="98">
        <v>170</v>
      </c>
      <c r="U449" s="98">
        <v>150</v>
      </c>
      <c r="V449" s="98" t="s">
        <v>250</v>
      </c>
      <c r="W449" s="98" t="s">
        <v>250</v>
      </c>
      <c r="X449" s="98">
        <v>0.28000000000000003</v>
      </c>
      <c r="Y449" s="98">
        <v>0.23</v>
      </c>
      <c r="Z449" s="98">
        <v>4.04</v>
      </c>
      <c r="AA449" s="98">
        <v>0.92</v>
      </c>
      <c r="AB449" s="98">
        <v>1.06</v>
      </c>
      <c r="AC449" s="98">
        <v>0.44</v>
      </c>
      <c r="AD449" s="98">
        <v>499</v>
      </c>
      <c r="AE449" s="98">
        <v>73</v>
      </c>
      <c r="AF449" s="95">
        <v>2.3E-2</v>
      </c>
      <c r="AG449" s="98">
        <v>2.4E-2</v>
      </c>
      <c r="AH449" s="96">
        <v>32.799999999999997</v>
      </c>
      <c r="AI449" s="96">
        <v>4.8</v>
      </c>
      <c r="AJ449" s="95">
        <v>2.3E-2</v>
      </c>
      <c r="AK449" s="95">
        <v>2.1000000000000001E-2</v>
      </c>
      <c r="AL449" s="96">
        <v>0.6</v>
      </c>
      <c r="AM449" s="96">
        <v>0.37</v>
      </c>
      <c r="AN449" s="96">
        <v>1.44</v>
      </c>
      <c r="AO449" s="96">
        <v>0.69</v>
      </c>
      <c r="AP449" s="96">
        <v>0.28999999999999998</v>
      </c>
      <c r="AQ449" s="96">
        <v>0.14000000000000001</v>
      </c>
      <c r="AR449" s="96">
        <v>6</v>
      </c>
      <c r="AS449" s="93">
        <v>1.8</v>
      </c>
      <c r="AT449" s="96">
        <v>2.82</v>
      </c>
      <c r="AU449" s="96">
        <v>0.7</v>
      </c>
      <c r="AV449" s="99">
        <v>40.200000000000003</v>
      </c>
      <c r="AW449" s="98">
        <v>6.9</v>
      </c>
      <c r="AX449" s="98">
        <v>14.7</v>
      </c>
      <c r="AY449" s="98">
        <v>2.2000000000000002</v>
      </c>
      <c r="AZ449" s="98">
        <v>82</v>
      </c>
      <c r="BA449" s="98">
        <v>12</v>
      </c>
      <c r="BB449" s="98">
        <v>17.600000000000001</v>
      </c>
      <c r="BC449" s="98">
        <v>3</v>
      </c>
      <c r="BD449" s="98">
        <v>158</v>
      </c>
      <c r="BE449" s="98">
        <v>18</v>
      </c>
      <c r="BF449" s="98">
        <v>32.5</v>
      </c>
      <c r="BG449" s="98">
        <v>2.9</v>
      </c>
      <c r="BI449" s="93">
        <v>13.6</v>
      </c>
      <c r="BJ449" s="98">
        <v>3.9</v>
      </c>
      <c r="BK449" s="98">
        <v>601000</v>
      </c>
      <c r="BL449" s="98">
        <v>69000</v>
      </c>
      <c r="BM449" s="98">
        <v>11900</v>
      </c>
      <c r="BN449" s="98">
        <v>1400</v>
      </c>
      <c r="BO449" s="99">
        <v>128</v>
      </c>
      <c r="BP449" s="98">
        <v>14</v>
      </c>
      <c r="BQ449" s="99">
        <v>242</v>
      </c>
      <c r="BR449" s="98">
        <v>26</v>
      </c>
      <c r="CD449" s="3"/>
      <c r="CE449" s="3"/>
      <c r="CF449" s="3"/>
    </row>
    <row r="450" spans="1:90" s="98" customFormat="1">
      <c r="A450" s="3" t="s">
        <v>607</v>
      </c>
      <c r="B450" s="92" t="s">
        <v>244</v>
      </c>
      <c r="C450" s="3"/>
      <c r="D450" s="93">
        <v>11.081</v>
      </c>
      <c r="E450" s="94">
        <v>0.16542000000000001</v>
      </c>
      <c r="F450" s="94">
        <v>6.7000000000000002E-4</v>
      </c>
      <c r="G450" s="95">
        <v>10.515000000000001</v>
      </c>
      <c r="H450" s="96">
        <v>0.31</v>
      </c>
      <c r="I450" s="97">
        <v>0.46210000000000001</v>
      </c>
      <c r="J450" s="95">
        <v>1.2E-2</v>
      </c>
      <c r="K450" s="96">
        <v>0.64612000000000003</v>
      </c>
      <c r="M450" s="99">
        <v>2448.8000000000002</v>
      </c>
      <c r="N450" s="98">
        <v>55</v>
      </c>
      <c r="O450" s="99">
        <v>2512</v>
      </c>
      <c r="P450" s="98">
        <v>3</v>
      </c>
      <c r="Q450" s="98">
        <v>2.5099999999999998</v>
      </c>
      <c r="R450" s="97">
        <v>6.7200000000000003E-3</v>
      </c>
      <c r="T450" s="98">
        <v>240</v>
      </c>
      <c r="U450" s="98">
        <v>120</v>
      </c>
      <c r="V450" s="98">
        <v>0</v>
      </c>
      <c r="W450" s="98">
        <v>1.3</v>
      </c>
      <c r="X450" s="98">
        <v>0.21</v>
      </c>
      <c r="Y450" s="98">
        <v>0.2</v>
      </c>
      <c r="Z450" s="98">
        <v>4.5</v>
      </c>
      <c r="AA450" s="98">
        <v>1.4</v>
      </c>
      <c r="AB450" s="98">
        <v>1.45</v>
      </c>
      <c r="AC450" s="98">
        <v>0.64</v>
      </c>
      <c r="AD450" s="98">
        <v>670</v>
      </c>
      <c r="AE450" s="98">
        <v>75</v>
      </c>
      <c r="AF450" s="95">
        <v>0.54</v>
      </c>
      <c r="AG450" s="98">
        <v>0.1</v>
      </c>
      <c r="AH450" s="96">
        <v>46.5</v>
      </c>
      <c r="AI450" s="96">
        <v>7.9</v>
      </c>
      <c r="AJ450" s="95">
        <v>0.29099999999999998</v>
      </c>
      <c r="AK450" s="95">
        <v>7.5999999999999998E-2</v>
      </c>
      <c r="AL450" s="96">
        <v>2.44</v>
      </c>
      <c r="AM450" s="96">
        <v>0.96</v>
      </c>
      <c r="AN450" s="96">
        <v>3.7</v>
      </c>
      <c r="AO450" s="96">
        <v>1.2</v>
      </c>
      <c r="AP450" s="96">
        <v>0.63</v>
      </c>
      <c r="AQ450" s="96">
        <v>0.27</v>
      </c>
      <c r="AR450" s="96">
        <v>17.3</v>
      </c>
      <c r="AS450" s="93">
        <v>4.5</v>
      </c>
      <c r="AT450" s="96">
        <v>4.84</v>
      </c>
      <c r="AU450" s="96">
        <v>0.66</v>
      </c>
      <c r="AV450" s="99">
        <v>60</v>
      </c>
      <c r="AW450" s="98">
        <v>8.6</v>
      </c>
      <c r="AX450" s="98">
        <v>21.5</v>
      </c>
      <c r="AY450" s="98">
        <v>3</v>
      </c>
      <c r="AZ450" s="98">
        <v>114</v>
      </c>
      <c r="BA450" s="98">
        <v>15</v>
      </c>
      <c r="BB450" s="98">
        <v>22.4</v>
      </c>
      <c r="BC450" s="98">
        <v>3.1</v>
      </c>
      <c r="BD450" s="98">
        <v>195</v>
      </c>
      <c r="BE450" s="98">
        <v>25</v>
      </c>
      <c r="BF450" s="98">
        <v>39.6</v>
      </c>
      <c r="BG450" s="98">
        <v>5.4</v>
      </c>
      <c r="BI450" s="93">
        <v>13.7</v>
      </c>
      <c r="BJ450" s="98">
        <v>3.9</v>
      </c>
      <c r="BK450" s="98">
        <v>603000</v>
      </c>
      <c r="BL450" s="98">
        <v>86000</v>
      </c>
      <c r="BM450" s="98">
        <v>10000</v>
      </c>
      <c r="BN450" s="98">
        <v>1200</v>
      </c>
      <c r="BO450" s="99">
        <v>149</v>
      </c>
      <c r="BP450" s="98">
        <v>18</v>
      </c>
      <c r="BQ450" s="99">
        <v>197</v>
      </c>
      <c r="BR450" s="98">
        <v>24</v>
      </c>
      <c r="CD450" s="3"/>
      <c r="CE450" s="3"/>
      <c r="CF450" s="3"/>
    </row>
    <row r="451" spans="1:90" s="98" customFormat="1">
      <c r="A451" s="3" t="s">
        <v>608</v>
      </c>
      <c r="B451" s="92" t="s">
        <v>244</v>
      </c>
      <c r="C451" s="3"/>
      <c r="D451" s="93">
        <v>11.044</v>
      </c>
      <c r="E451" s="94">
        <v>0.16728000000000001</v>
      </c>
      <c r="F451" s="94">
        <v>8.4000000000000003E-4</v>
      </c>
      <c r="G451" s="95">
        <v>13.19</v>
      </c>
      <c r="H451" s="96">
        <v>0.41</v>
      </c>
      <c r="I451" s="97">
        <v>0.57379999999999998</v>
      </c>
      <c r="J451" s="95">
        <v>1.6E-2</v>
      </c>
      <c r="K451" s="96">
        <v>0.92337999999999998</v>
      </c>
      <c r="M451" s="99">
        <v>2923</v>
      </c>
      <c r="N451" s="98">
        <v>67</v>
      </c>
      <c r="O451" s="99">
        <v>2531.1999999999998</v>
      </c>
      <c r="P451" s="98">
        <v>5.7</v>
      </c>
      <c r="Q451" s="98">
        <v>-15.49</v>
      </c>
      <c r="R451" s="97">
        <v>0</v>
      </c>
      <c r="T451" s="98">
        <v>210</v>
      </c>
      <c r="U451" s="98">
        <v>250</v>
      </c>
      <c r="V451" s="98">
        <v>1.1000000000000001</v>
      </c>
      <c r="W451" s="98">
        <v>2.2000000000000002</v>
      </c>
      <c r="X451" s="98">
        <v>1.6</v>
      </c>
      <c r="Y451" s="98">
        <v>0.93</v>
      </c>
      <c r="Z451" s="98">
        <v>4</v>
      </c>
      <c r="AA451" s="98">
        <v>1.3</v>
      </c>
      <c r="AB451" s="98">
        <v>1.64</v>
      </c>
      <c r="AC451" s="98">
        <v>0.63</v>
      </c>
      <c r="AD451" s="98">
        <v>670</v>
      </c>
      <c r="AE451" s="98">
        <v>110</v>
      </c>
      <c r="AF451" s="95">
        <v>0.183</v>
      </c>
      <c r="AG451" s="98">
        <v>9.4E-2</v>
      </c>
      <c r="AH451" s="96">
        <v>36.4</v>
      </c>
      <c r="AI451" s="96">
        <v>7</v>
      </c>
      <c r="AJ451" s="95">
        <v>7.5999999999999998E-2</v>
      </c>
      <c r="AK451" s="95">
        <v>4.2000000000000003E-2</v>
      </c>
      <c r="AL451" s="96">
        <v>0.78</v>
      </c>
      <c r="AM451" s="96">
        <v>0.51</v>
      </c>
      <c r="AN451" s="96">
        <v>2.2999999999999998</v>
      </c>
      <c r="AO451" s="96">
        <v>1.4</v>
      </c>
      <c r="AP451" s="96">
        <v>0.31</v>
      </c>
      <c r="AQ451" s="96">
        <v>0.31</v>
      </c>
      <c r="AR451" s="96">
        <v>12.5</v>
      </c>
      <c r="AS451" s="93">
        <v>4.2</v>
      </c>
      <c r="AT451" s="96">
        <v>4.47</v>
      </c>
      <c r="AU451" s="96">
        <v>0.92</v>
      </c>
      <c r="AV451" s="99">
        <v>62</v>
      </c>
      <c r="AW451" s="98">
        <v>13</v>
      </c>
      <c r="AX451" s="98">
        <v>23</v>
      </c>
      <c r="AY451" s="98">
        <v>3.4</v>
      </c>
      <c r="AZ451" s="98">
        <v>103</v>
      </c>
      <c r="BA451" s="98">
        <v>20</v>
      </c>
      <c r="BB451" s="98">
        <v>22.1</v>
      </c>
      <c r="BC451" s="98">
        <v>2.6</v>
      </c>
      <c r="BD451" s="98">
        <v>184</v>
      </c>
      <c r="BE451" s="98">
        <v>24</v>
      </c>
      <c r="BF451" s="98">
        <v>42</v>
      </c>
      <c r="BG451" s="98">
        <v>11</v>
      </c>
      <c r="BI451" s="93">
        <v>8.6</v>
      </c>
      <c r="BJ451" s="98">
        <v>4.7</v>
      </c>
      <c r="BK451" s="98">
        <v>459000</v>
      </c>
      <c r="BL451" s="98">
        <v>78000</v>
      </c>
      <c r="BM451" s="98">
        <v>8800</v>
      </c>
      <c r="BN451" s="98">
        <v>1300</v>
      </c>
      <c r="BO451" s="99">
        <v>178</v>
      </c>
      <c r="BP451" s="98">
        <v>30</v>
      </c>
      <c r="BQ451" s="99">
        <v>321</v>
      </c>
      <c r="BR451" s="98">
        <v>48</v>
      </c>
      <c r="CD451" s="3"/>
      <c r="CE451" s="3"/>
      <c r="CF451" s="3"/>
    </row>
    <row r="452" spans="1:90" s="98" customFormat="1">
      <c r="A452" s="3" t="s">
        <v>599</v>
      </c>
      <c r="B452" s="3" t="s">
        <v>268</v>
      </c>
      <c r="C452" s="3"/>
      <c r="D452" s="93">
        <v>7.0060000000000002</v>
      </c>
      <c r="E452" s="94">
        <v>0.16433</v>
      </c>
      <c r="F452" s="94">
        <v>6.4999999999999997E-4</v>
      </c>
      <c r="G452" s="95">
        <v>10.766</v>
      </c>
      <c r="H452" s="96">
        <v>0.27</v>
      </c>
      <c r="I452" s="97">
        <v>0.47560000000000002</v>
      </c>
      <c r="J452" s="95">
        <v>0.01</v>
      </c>
      <c r="K452" s="96">
        <v>0.82060999999999995</v>
      </c>
      <c r="M452" s="99">
        <v>2508</v>
      </c>
      <c r="N452" s="98">
        <v>45</v>
      </c>
      <c r="O452" s="99">
        <v>2500.8000000000002</v>
      </c>
      <c r="P452" s="98">
        <v>2.9</v>
      </c>
      <c r="Q452" s="98">
        <v>-0.28999999999999998</v>
      </c>
      <c r="R452" s="97">
        <v>5.6999999999999998E-4</v>
      </c>
      <c r="T452" s="98">
        <v>270</v>
      </c>
      <c r="U452" s="98">
        <v>250</v>
      </c>
      <c r="V452" s="98">
        <v>0.51</v>
      </c>
      <c r="W452" s="98">
        <v>0.84</v>
      </c>
      <c r="X452" s="98">
        <v>0.16</v>
      </c>
      <c r="Y452" s="98">
        <v>0.12</v>
      </c>
      <c r="Z452" s="98">
        <v>3.71</v>
      </c>
      <c r="AA452" s="98">
        <v>0.59</v>
      </c>
      <c r="AB452" s="98">
        <v>2.5099999999999998</v>
      </c>
      <c r="AC452" s="98">
        <v>0.76</v>
      </c>
      <c r="AD452" s="98">
        <v>498</v>
      </c>
      <c r="AE452" s="98">
        <v>42</v>
      </c>
      <c r="AF452" s="95" t="s">
        <v>250</v>
      </c>
      <c r="AG452" s="98" t="s">
        <v>250</v>
      </c>
      <c r="AH452" s="96">
        <v>30.6</v>
      </c>
      <c r="AI452" s="96">
        <v>2.7</v>
      </c>
      <c r="AJ452" s="95">
        <v>0.05</v>
      </c>
      <c r="AK452" s="95">
        <v>2.4E-2</v>
      </c>
      <c r="AL452" s="96">
        <v>0.64</v>
      </c>
      <c r="AM452" s="96">
        <v>0.33</v>
      </c>
      <c r="AN452" s="96">
        <v>2.0299999999999998</v>
      </c>
      <c r="AO452" s="96">
        <v>0.99</v>
      </c>
      <c r="AP452" s="96">
        <v>0.25</v>
      </c>
      <c r="AQ452" s="96">
        <v>0.15</v>
      </c>
      <c r="AR452" s="96">
        <v>7.9</v>
      </c>
      <c r="AS452" s="93">
        <v>2.6</v>
      </c>
      <c r="AT452" s="96">
        <v>3.1</v>
      </c>
      <c r="AU452" s="96">
        <v>0.52</v>
      </c>
      <c r="AV452" s="99">
        <v>36.299999999999997</v>
      </c>
      <c r="AW452" s="98">
        <v>4.0999999999999996</v>
      </c>
      <c r="AX452" s="98">
        <v>14.4</v>
      </c>
      <c r="AY452" s="98">
        <v>1.6</v>
      </c>
      <c r="AZ452" s="98">
        <v>74.099999999999994</v>
      </c>
      <c r="BA452" s="98">
        <v>6.2</v>
      </c>
      <c r="BB452" s="98">
        <v>16.7</v>
      </c>
      <c r="BC452" s="98">
        <v>1.9</v>
      </c>
      <c r="BD452" s="98">
        <v>151</v>
      </c>
      <c r="BE452" s="98">
        <v>16</v>
      </c>
      <c r="BF452" s="98">
        <v>31.8</v>
      </c>
      <c r="BG452" s="98">
        <v>3.3</v>
      </c>
      <c r="BI452" s="93">
        <v>9.5</v>
      </c>
      <c r="BJ452" s="98">
        <v>1.7</v>
      </c>
      <c r="BK452" s="98">
        <v>484000</v>
      </c>
      <c r="BL452" s="98">
        <v>38000</v>
      </c>
      <c r="BM452" s="98">
        <v>9470</v>
      </c>
      <c r="BN452" s="98">
        <v>830</v>
      </c>
      <c r="BO452" s="99">
        <v>166</v>
      </c>
      <c r="BP452" s="98">
        <v>10</v>
      </c>
      <c r="BQ452" s="99">
        <v>199</v>
      </c>
      <c r="BR452" s="98">
        <v>11</v>
      </c>
      <c r="CD452" s="3"/>
      <c r="CE452" s="3"/>
      <c r="CF452" s="3"/>
    </row>
    <row r="453" spans="1:90" s="98" customFormat="1">
      <c r="A453" s="3" t="s">
        <v>600</v>
      </c>
      <c r="B453" s="3" t="s">
        <v>268</v>
      </c>
      <c r="C453" s="3"/>
      <c r="D453" s="93">
        <v>7.0309999999999997</v>
      </c>
      <c r="E453" s="94">
        <v>0.16472999999999999</v>
      </c>
      <c r="F453" s="94">
        <v>7.1000000000000002E-4</v>
      </c>
      <c r="G453" s="95">
        <v>10.634</v>
      </c>
      <c r="H453" s="96">
        <v>0.26</v>
      </c>
      <c r="I453" s="97">
        <v>0.46920000000000001</v>
      </c>
      <c r="J453" s="95">
        <v>0.01</v>
      </c>
      <c r="K453" s="96">
        <v>0.75192000000000003</v>
      </c>
      <c r="M453" s="99">
        <v>2479.8000000000002</v>
      </c>
      <c r="N453" s="98">
        <v>45</v>
      </c>
      <c r="O453" s="99">
        <v>2504.3000000000002</v>
      </c>
      <c r="P453" s="98">
        <v>3.5</v>
      </c>
      <c r="Q453" s="98">
        <v>0.98</v>
      </c>
      <c r="R453" s="97">
        <v>2.7599999999999999E-3</v>
      </c>
      <c r="T453" s="98">
        <v>270</v>
      </c>
      <c r="U453" s="98">
        <v>100</v>
      </c>
      <c r="V453" s="98">
        <v>0.09</v>
      </c>
      <c r="W453" s="98">
        <v>0.74</v>
      </c>
      <c r="X453" s="98">
        <v>0.15</v>
      </c>
      <c r="Y453" s="98">
        <v>0.13</v>
      </c>
      <c r="Z453" s="98">
        <v>3.06</v>
      </c>
      <c r="AA453" s="98">
        <v>0.74</v>
      </c>
      <c r="AB453" s="98">
        <v>1.38</v>
      </c>
      <c r="AC453" s="98">
        <v>0.56000000000000005</v>
      </c>
      <c r="AD453" s="98">
        <v>449</v>
      </c>
      <c r="AE453" s="98">
        <v>31</v>
      </c>
      <c r="AF453" s="95">
        <v>0.26600000000000001</v>
      </c>
      <c r="AG453" s="98">
        <v>7.1999999999999995E-2</v>
      </c>
      <c r="AH453" s="96">
        <v>37.6</v>
      </c>
      <c r="AI453" s="96">
        <v>3.6</v>
      </c>
      <c r="AJ453" s="95">
        <v>0.14699999999999999</v>
      </c>
      <c r="AK453" s="95">
        <v>5.0999999999999997E-2</v>
      </c>
      <c r="AL453" s="96">
        <v>2.0299999999999998</v>
      </c>
      <c r="AM453" s="96">
        <v>0.73</v>
      </c>
      <c r="AN453" s="96">
        <v>1.98</v>
      </c>
      <c r="AO453" s="96">
        <v>0.64</v>
      </c>
      <c r="AP453" s="96">
        <v>0.31</v>
      </c>
      <c r="AQ453" s="96">
        <v>0.18</v>
      </c>
      <c r="AR453" s="96">
        <v>10.199999999999999</v>
      </c>
      <c r="AS453" s="93">
        <v>3.6</v>
      </c>
      <c r="AT453" s="96">
        <v>3.45</v>
      </c>
      <c r="AU453" s="96">
        <v>0.83</v>
      </c>
      <c r="AV453" s="99">
        <v>40.6</v>
      </c>
      <c r="AW453" s="98">
        <v>5.7</v>
      </c>
      <c r="AX453" s="98">
        <v>15</v>
      </c>
      <c r="AY453" s="98">
        <v>1.9</v>
      </c>
      <c r="AZ453" s="98">
        <v>72.8</v>
      </c>
      <c r="BA453" s="98">
        <v>9</v>
      </c>
      <c r="BB453" s="98">
        <v>14.5</v>
      </c>
      <c r="BC453" s="98">
        <v>1.3</v>
      </c>
      <c r="BD453" s="98">
        <v>143</v>
      </c>
      <c r="BE453" s="98">
        <v>22</v>
      </c>
      <c r="BF453" s="98">
        <v>27.6</v>
      </c>
      <c r="BG453" s="98">
        <v>2.2999999999999998</v>
      </c>
      <c r="BI453" s="93">
        <v>6</v>
      </c>
      <c r="BJ453" s="98">
        <v>1.7</v>
      </c>
      <c r="BK453" s="98">
        <v>539000</v>
      </c>
      <c r="BL453" s="98">
        <v>60000</v>
      </c>
      <c r="BM453" s="98">
        <v>9500</v>
      </c>
      <c r="BN453" s="98">
        <v>1100</v>
      </c>
      <c r="BO453" s="99">
        <v>106.2</v>
      </c>
      <c r="BP453" s="98">
        <v>8.1999999999999993</v>
      </c>
      <c r="BQ453" s="99">
        <v>153</v>
      </c>
      <c r="BR453" s="98">
        <v>12</v>
      </c>
      <c r="CD453" s="3"/>
      <c r="CE453" s="3"/>
      <c r="CF453" s="3"/>
      <c r="CL453" s="135"/>
    </row>
    <row r="454" spans="1:90" s="98" customFormat="1">
      <c r="A454" s="3" t="s">
        <v>601</v>
      </c>
      <c r="B454" s="3" t="s">
        <v>268</v>
      </c>
      <c r="C454" s="3"/>
      <c r="D454" s="93">
        <v>7.048</v>
      </c>
      <c r="E454" s="94">
        <v>0.16511999999999999</v>
      </c>
      <c r="F454" s="94">
        <v>6.2E-4</v>
      </c>
      <c r="G454" s="95">
        <v>10.741</v>
      </c>
      <c r="H454" s="96">
        <v>0.27</v>
      </c>
      <c r="I454" s="97">
        <v>0.47270000000000001</v>
      </c>
      <c r="J454" s="95">
        <v>0.01</v>
      </c>
      <c r="K454" s="96">
        <v>0.87095999999999996</v>
      </c>
      <c r="M454" s="99">
        <v>2495.3000000000002</v>
      </c>
      <c r="N454" s="98">
        <v>45</v>
      </c>
      <c r="O454" s="99">
        <v>2508.6999999999998</v>
      </c>
      <c r="P454" s="98">
        <v>3.9</v>
      </c>
      <c r="Q454" s="98">
        <v>0.54</v>
      </c>
      <c r="R454" s="97">
        <v>1.4499999999999999E-3</v>
      </c>
      <c r="T454" s="98">
        <v>180</v>
      </c>
      <c r="U454" s="98">
        <v>140</v>
      </c>
      <c r="V454" s="98">
        <v>1</v>
      </c>
      <c r="W454" s="98">
        <v>1.7</v>
      </c>
      <c r="X454" s="98">
        <v>0.09</v>
      </c>
      <c r="Y454" s="98">
        <v>0.13</v>
      </c>
      <c r="Z454" s="98">
        <v>3.07</v>
      </c>
      <c r="AA454" s="98">
        <v>0.93</v>
      </c>
      <c r="AB454" s="98">
        <v>1.1200000000000001</v>
      </c>
      <c r="AC454" s="98">
        <v>0.43</v>
      </c>
      <c r="AD454" s="98">
        <v>584</v>
      </c>
      <c r="AE454" s="98">
        <v>56</v>
      </c>
      <c r="AF454" s="95">
        <v>2.3E-2</v>
      </c>
      <c r="AG454" s="98">
        <v>1.2E-2</v>
      </c>
      <c r="AH454" s="96">
        <v>37.6</v>
      </c>
      <c r="AI454" s="96">
        <v>3.9</v>
      </c>
      <c r="AJ454" s="95">
        <v>9.7000000000000003E-2</v>
      </c>
      <c r="AK454" s="95">
        <v>2.5999999999999999E-2</v>
      </c>
      <c r="AL454" s="96">
        <v>2.35</v>
      </c>
      <c r="AM454" s="96">
        <v>0.89</v>
      </c>
      <c r="AN454" s="96">
        <v>2.9</v>
      </c>
      <c r="AO454" s="96">
        <v>1.1000000000000001</v>
      </c>
      <c r="AP454" s="96">
        <v>0.47</v>
      </c>
      <c r="AQ454" s="96">
        <v>0.2</v>
      </c>
      <c r="AR454" s="96">
        <v>16.399999999999999</v>
      </c>
      <c r="AS454" s="93">
        <v>3</v>
      </c>
      <c r="AT454" s="96">
        <v>4.83</v>
      </c>
      <c r="AU454" s="96">
        <v>0.8</v>
      </c>
      <c r="AV454" s="99">
        <v>57.2</v>
      </c>
      <c r="AW454" s="98">
        <v>7.5</v>
      </c>
      <c r="AX454" s="98">
        <v>20.5</v>
      </c>
      <c r="AY454" s="98">
        <v>2.7</v>
      </c>
      <c r="AZ454" s="98">
        <v>87.9</v>
      </c>
      <c r="BA454" s="98">
        <v>7.7</v>
      </c>
      <c r="BB454" s="98">
        <v>19.100000000000001</v>
      </c>
      <c r="BC454" s="98">
        <v>2.1</v>
      </c>
      <c r="BD454" s="98">
        <v>175</v>
      </c>
      <c r="BE454" s="98">
        <v>19</v>
      </c>
      <c r="BF454" s="98">
        <v>34.4</v>
      </c>
      <c r="BG454" s="98">
        <v>3.2</v>
      </c>
      <c r="BI454" s="93">
        <v>18.100000000000001</v>
      </c>
      <c r="BJ454" s="98">
        <v>4.7</v>
      </c>
      <c r="BK454" s="98">
        <v>542000</v>
      </c>
      <c r="BL454" s="98">
        <v>39000</v>
      </c>
      <c r="BM454" s="98">
        <v>9550</v>
      </c>
      <c r="BN454" s="98">
        <v>850</v>
      </c>
      <c r="BO454" s="99">
        <v>110.7</v>
      </c>
      <c r="BP454" s="98">
        <v>7.4</v>
      </c>
      <c r="BQ454" s="99">
        <v>128.6</v>
      </c>
      <c r="BR454" s="98">
        <v>9.3000000000000007</v>
      </c>
      <c r="CD454" s="3"/>
      <c r="CE454" s="3"/>
      <c r="CF454" s="3"/>
    </row>
    <row r="455" spans="1:90" s="98" customFormat="1">
      <c r="A455" s="3" t="s">
        <v>602</v>
      </c>
      <c r="B455" s="3" t="s">
        <v>268</v>
      </c>
      <c r="C455" s="3"/>
      <c r="D455" s="93">
        <v>7.0119999999999996</v>
      </c>
      <c r="E455" s="94">
        <v>0.16511999999999999</v>
      </c>
      <c r="F455" s="94">
        <v>6.8999999999999997E-4</v>
      </c>
      <c r="G455" s="95">
        <v>10.784000000000001</v>
      </c>
      <c r="H455" s="96">
        <v>0.27</v>
      </c>
      <c r="I455" s="97">
        <v>0.47439999999999999</v>
      </c>
      <c r="J455" s="95">
        <v>0.01</v>
      </c>
      <c r="K455" s="96">
        <v>0.80083000000000004</v>
      </c>
      <c r="M455" s="99">
        <v>2502.6999999999998</v>
      </c>
      <c r="N455" s="98">
        <v>45</v>
      </c>
      <c r="O455" s="99">
        <v>2508.6</v>
      </c>
      <c r="P455" s="98">
        <v>2.4</v>
      </c>
      <c r="Q455" s="98">
        <v>0.23</v>
      </c>
      <c r="R455" s="97">
        <v>6.8999999999999997E-4</v>
      </c>
      <c r="T455" s="98">
        <v>140</v>
      </c>
      <c r="U455" s="98">
        <v>110</v>
      </c>
      <c r="V455" s="98">
        <v>0.1</v>
      </c>
      <c r="W455" s="98">
        <v>1</v>
      </c>
      <c r="X455" s="98">
        <v>0.2</v>
      </c>
      <c r="Y455" s="98">
        <v>0.19</v>
      </c>
      <c r="Z455" s="98">
        <v>4.16</v>
      </c>
      <c r="AA455" s="98">
        <v>0.67</v>
      </c>
      <c r="AB455" s="98">
        <v>2.36</v>
      </c>
      <c r="AC455" s="98">
        <v>0.62</v>
      </c>
      <c r="AD455" s="98">
        <v>397</v>
      </c>
      <c r="AE455" s="98">
        <v>29</v>
      </c>
      <c r="AF455" s="95" t="s">
        <v>250</v>
      </c>
      <c r="AG455" s="98" t="s">
        <v>250</v>
      </c>
      <c r="AH455" s="96">
        <v>30.9</v>
      </c>
      <c r="AI455" s="96">
        <v>3.4</v>
      </c>
      <c r="AJ455" s="95">
        <v>3.5999999999999997E-2</v>
      </c>
      <c r="AK455" s="95">
        <v>2.1999999999999999E-2</v>
      </c>
      <c r="AL455" s="96">
        <v>0.56000000000000005</v>
      </c>
      <c r="AM455" s="96">
        <v>0.34</v>
      </c>
      <c r="AN455" s="96">
        <v>1.73</v>
      </c>
      <c r="AO455" s="96">
        <v>0.64</v>
      </c>
      <c r="AP455" s="96">
        <v>0.24</v>
      </c>
      <c r="AQ455" s="96">
        <v>0.12</v>
      </c>
      <c r="AR455" s="96">
        <v>8.3000000000000007</v>
      </c>
      <c r="AS455" s="93">
        <v>2</v>
      </c>
      <c r="AT455" s="96">
        <v>2.14</v>
      </c>
      <c r="AU455" s="96">
        <v>0.33</v>
      </c>
      <c r="AV455" s="99">
        <v>36.9</v>
      </c>
      <c r="AW455" s="98">
        <v>4.4000000000000004</v>
      </c>
      <c r="AX455" s="98">
        <v>13.8</v>
      </c>
      <c r="AY455" s="98">
        <v>1.1000000000000001</v>
      </c>
      <c r="AZ455" s="98">
        <v>67.599999999999994</v>
      </c>
      <c r="BA455" s="98">
        <v>6</v>
      </c>
      <c r="BB455" s="98">
        <v>14.5</v>
      </c>
      <c r="BC455" s="98">
        <v>1.6</v>
      </c>
      <c r="BD455" s="98">
        <v>150</v>
      </c>
      <c r="BE455" s="98">
        <v>13</v>
      </c>
      <c r="BF455" s="98">
        <v>30.5</v>
      </c>
      <c r="BG455" s="98">
        <v>2</v>
      </c>
      <c r="BI455" s="93">
        <v>11.6</v>
      </c>
      <c r="BJ455" s="98">
        <v>2.2000000000000002</v>
      </c>
      <c r="BK455" s="98">
        <v>499000</v>
      </c>
      <c r="BL455" s="98">
        <v>32000</v>
      </c>
      <c r="BM455" s="98">
        <v>10170</v>
      </c>
      <c r="BN455" s="98">
        <v>860</v>
      </c>
      <c r="BO455" s="99">
        <v>150.4</v>
      </c>
      <c r="BP455" s="98">
        <v>7.2</v>
      </c>
      <c r="BQ455" s="99">
        <v>302</v>
      </c>
      <c r="BR455" s="98">
        <v>14</v>
      </c>
      <c r="CD455" s="3"/>
      <c r="CE455" s="3"/>
      <c r="CF455" s="3"/>
    </row>
    <row r="456" spans="1:90" s="98" customFormat="1">
      <c r="A456" s="3" t="s">
        <v>603</v>
      </c>
      <c r="B456" s="3" t="s">
        <v>268</v>
      </c>
      <c r="C456" s="3"/>
      <c r="D456" s="93">
        <v>7.0110000000000001</v>
      </c>
      <c r="E456" s="94">
        <v>0.16455</v>
      </c>
      <c r="F456" s="94">
        <v>9.3999999999999997E-4</v>
      </c>
      <c r="G456" s="95">
        <v>10.89</v>
      </c>
      <c r="H456" s="96">
        <v>0.33</v>
      </c>
      <c r="I456" s="97">
        <v>0.48089999999999999</v>
      </c>
      <c r="J456" s="95">
        <v>1.2999999999999999E-2</v>
      </c>
      <c r="K456" s="96">
        <v>0.95728000000000002</v>
      </c>
      <c r="M456" s="99">
        <v>2531</v>
      </c>
      <c r="N456" s="98">
        <v>56</v>
      </c>
      <c r="O456" s="99">
        <v>2502.1999999999998</v>
      </c>
      <c r="P456" s="98">
        <v>5</v>
      </c>
      <c r="Q456" s="98">
        <v>-1.1000000000000001</v>
      </c>
      <c r="R456" s="97">
        <v>1.25E-3</v>
      </c>
      <c r="T456" s="98">
        <v>195</v>
      </c>
      <c r="U456" s="98">
        <v>92</v>
      </c>
      <c r="V456" s="98">
        <v>0</v>
      </c>
      <c r="W456" s="98">
        <v>0.97</v>
      </c>
      <c r="X456" s="98">
        <v>0.71</v>
      </c>
      <c r="Y456" s="98">
        <v>0.43</v>
      </c>
      <c r="Z456" s="98">
        <v>3.3</v>
      </c>
      <c r="AA456" s="98">
        <v>1.1000000000000001</v>
      </c>
      <c r="AB456" s="98">
        <v>0.95</v>
      </c>
      <c r="AC456" s="98">
        <v>0.35</v>
      </c>
      <c r="AD456" s="98">
        <v>742</v>
      </c>
      <c r="AE456" s="98">
        <v>45</v>
      </c>
      <c r="AF456" s="95">
        <v>1.04</v>
      </c>
      <c r="AG456" s="98">
        <v>0.28000000000000003</v>
      </c>
      <c r="AH456" s="96">
        <v>45.4</v>
      </c>
      <c r="AI456" s="96">
        <v>4.9000000000000004</v>
      </c>
      <c r="AJ456" s="95">
        <v>0.41</v>
      </c>
      <c r="AK456" s="95">
        <v>0.12</v>
      </c>
      <c r="AL456" s="96">
        <v>1.93</v>
      </c>
      <c r="AM456" s="96">
        <v>0.67</v>
      </c>
      <c r="AN456" s="96">
        <v>3.9</v>
      </c>
      <c r="AO456" s="96">
        <v>1.1000000000000001</v>
      </c>
      <c r="AP456" s="96">
        <v>0.59</v>
      </c>
      <c r="AQ456" s="96">
        <v>0.27</v>
      </c>
      <c r="AR456" s="96">
        <v>18.399999999999999</v>
      </c>
      <c r="AS456" s="93">
        <v>3.2</v>
      </c>
      <c r="AT456" s="96">
        <v>5.62</v>
      </c>
      <c r="AU456" s="96">
        <v>0.97</v>
      </c>
      <c r="AV456" s="99">
        <v>67.900000000000006</v>
      </c>
      <c r="AW456" s="98">
        <v>8.4</v>
      </c>
      <c r="AX456" s="98">
        <v>23.2</v>
      </c>
      <c r="AY456" s="98">
        <v>2.5</v>
      </c>
      <c r="AZ456" s="98">
        <v>113</v>
      </c>
      <c r="BA456" s="98">
        <v>11</v>
      </c>
      <c r="BB456" s="98">
        <v>22.1</v>
      </c>
      <c r="BC456" s="98">
        <v>2</v>
      </c>
      <c r="BD456" s="98">
        <v>187</v>
      </c>
      <c r="BE456" s="98">
        <v>17</v>
      </c>
      <c r="BF456" s="98">
        <v>35.700000000000003</v>
      </c>
      <c r="BG456" s="98">
        <v>2.9</v>
      </c>
      <c r="BI456" s="93">
        <v>11.5</v>
      </c>
      <c r="BJ456" s="98">
        <v>2.5</v>
      </c>
      <c r="BK456" s="98">
        <v>451000</v>
      </c>
      <c r="BL456" s="98">
        <v>46000</v>
      </c>
      <c r="BM456" s="98">
        <v>8600</v>
      </c>
      <c r="BN456" s="98">
        <v>680</v>
      </c>
      <c r="BO456" s="99">
        <v>164</v>
      </c>
      <c r="BP456" s="98">
        <v>12</v>
      </c>
      <c r="BQ456" s="99">
        <v>181</v>
      </c>
      <c r="BR456" s="98">
        <v>14</v>
      </c>
      <c r="CD456" s="3"/>
      <c r="CE456" s="3"/>
      <c r="CF456" s="3"/>
    </row>
    <row r="457" spans="1:90" s="98" customFormat="1">
      <c r="A457" s="3" t="s">
        <v>604</v>
      </c>
      <c r="B457" s="3" t="s">
        <v>268</v>
      </c>
      <c r="C457" s="3"/>
      <c r="D457" s="93">
        <v>7.0149999999999997</v>
      </c>
      <c r="E457" s="94">
        <v>0.16525999999999999</v>
      </c>
      <c r="F457" s="94">
        <v>7.6000000000000004E-4</v>
      </c>
      <c r="G457" s="95">
        <v>12.11</v>
      </c>
      <c r="H457" s="96">
        <v>0.38</v>
      </c>
      <c r="I457" s="97">
        <v>0.5323</v>
      </c>
      <c r="J457" s="95">
        <v>1.4999999999999999E-2</v>
      </c>
      <c r="K457" s="96">
        <v>0.97626000000000002</v>
      </c>
      <c r="M457" s="99">
        <v>2751</v>
      </c>
      <c r="N457" s="98">
        <v>63</v>
      </c>
      <c r="O457" s="99">
        <v>2509.6</v>
      </c>
      <c r="P457" s="98">
        <v>3.4</v>
      </c>
      <c r="Q457" s="98">
        <v>-9.6</v>
      </c>
      <c r="R457" s="97">
        <v>0</v>
      </c>
      <c r="T457" s="98">
        <v>170</v>
      </c>
      <c r="U457" s="98">
        <v>88</v>
      </c>
      <c r="V457" s="98" t="s">
        <v>250</v>
      </c>
      <c r="W457" s="98" t="s">
        <v>250</v>
      </c>
      <c r="X457" s="98">
        <v>0.27</v>
      </c>
      <c r="Y457" s="98">
        <v>0.27</v>
      </c>
      <c r="Z457" s="98">
        <v>4.25</v>
      </c>
      <c r="AA457" s="98">
        <v>0.89</v>
      </c>
      <c r="AB457" s="98">
        <v>1.41</v>
      </c>
      <c r="AC457" s="98">
        <v>0.5</v>
      </c>
      <c r="AD457" s="98">
        <v>586</v>
      </c>
      <c r="AE457" s="98">
        <v>52</v>
      </c>
      <c r="AF457" s="95">
        <v>1.27</v>
      </c>
      <c r="AG457" s="98">
        <v>0.16</v>
      </c>
      <c r="AH457" s="96">
        <v>39.6</v>
      </c>
      <c r="AI457" s="96">
        <v>3.7</v>
      </c>
      <c r="AJ457" s="95">
        <v>0.30499999999999999</v>
      </c>
      <c r="AK457" s="95">
        <v>7.0999999999999994E-2</v>
      </c>
      <c r="AL457" s="96">
        <v>1.87</v>
      </c>
      <c r="AM457" s="96">
        <v>0.76</v>
      </c>
      <c r="AN457" s="96">
        <v>1.99</v>
      </c>
      <c r="AO457" s="96">
        <v>0.82</v>
      </c>
      <c r="AP457" s="96">
        <v>0.33</v>
      </c>
      <c r="AQ457" s="96">
        <v>0.19</v>
      </c>
      <c r="AR457" s="96">
        <v>10</v>
      </c>
      <c r="AS457" s="93">
        <v>2.5</v>
      </c>
      <c r="AT457" s="96">
        <v>3.29</v>
      </c>
      <c r="AU457" s="96">
        <v>0.38</v>
      </c>
      <c r="AV457" s="99">
        <v>46.8</v>
      </c>
      <c r="AW457" s="98">
        <v>5.6</v>
      </c>
      <c r="AX457" s="98">
        <v>18.3</v>
      </c>
      <c r="AY457" s="98">
        <v>1.6</v>
      </c>
      <c r="AZ457" s="98">
        <v>86.7</v>
      </c>
      <c r="BA457" s="98">
        <v>9.8000000000000007</v>
      </c>
      <c r="BB457" s="98">
        <v>18.7</v>
      </c>
      <c r="BC457" s="98">
        <v>1.7</v>
      </c>
      <c r="BD457" s="98">
        <v>172</v>
      </c>
      <c r="BE457" s="98">
        <v>14</v>
      </c>
      <c r="BF457" s="98">
        <v>34.799999999999997</v>
      </c>
      <c r="BG457" s="98">
        <v>3.2</v>
      </c>
      <c r="BI457" s="93">
        <v>8.4</v>
      </c>
      <c r="BJ457" s="98">
        <v>2.8</v>
      </c>
      <c r="BK457" s="98">
        <v>464000</v>
      </c>
      <c r="BL457" s="98">
        <v>51000</v>
      </c>
      <c r="BM457" s="98">
        <v>9000</v>
      </c>
      <c r="BN457" s="98">
        <v>830</v>
      </c>
      <c r="BO457" s="99">
        <v>190</v>
      </c>
      <c r="BP457" s="98">
        <v>12</v>
      </c>
      <c r="BQ457" s="99">
        <v>320</v>
      </c>
      <c r="BR457" s="98">
        <v>21</v>
      </c>
      <c r="CD457" s="3"/>
      <c r="CE457" s="3"/>
      <c r="CF457" s="3"/>
    </row>
    <row r="458" spans="1:90" s="98" customFormat="1">
      <c r="A458" s="3" t="s">
        <v>605</v>
      </c>
      <c r="B458" s="3" t="s">
        <v>268</v>
      </c>
      <c r="C458" s="3"/>
      <c r="D458" s="93">
        <v>7.0149999999999997</v>
      </c>
      <c r="E458" s="94">
        <v>0.16520000000000001</v>
      </c>
      <c r="F458" s="94">
        <v>6.0999999999999997E-4</v>
      </c>
      <c r="G458" s="95">
        <v>11.108000000000001</v>
      </c>
      <c r="H458" s="96">
        <v>0.28000000000000003</v>
      </c>
      <c r="I458" s="97">
        <v>0.48899999999999999</v>
      </c>
      <c r="J458" s="95">
        <v>1.0999999999999999E-2</v>
      </c>
      <c r="K458" s="96">
        <v>0.86609000000000003</v>
      </c>
      <c r="M458" s="99">
        <v>2566</v>
      </c>
      <c r="N458" s="98">
        <v>47</v>
      </c>
      <c r="O458" s="99">
        <v>2509.9</v>
      </c>
      <c r="P458" s="98">
        <v>2.8</v>
      </c>
      <c r="Q458" s="98">
        <v>-2.25</v>
      </c>
      <c r="R458" s="97">
        <v>0</v>
      </c>
      <c r="T458" s="98">
        <v>290</v>
      </c>
      <c r="U458" s="98">
        <v>100</v>
      </c>
      <c r="V458" s="98">
        <v>2.1</v>
      </c>
      <c r="W458" s="98">
        <v>1.4</v>
      </c>
      <c r="X458" s="98">
        <v>0.56000000000000005</v>
      </c>
      <c r="Y458" s="98">
        <v>0.41</v>
      </c>
      <c r="Z458" s="98">
        <v>2.96</v>
      </c>
      <c r="AA458" s="98">
        <v>0.87</v>
      </c>
      <c r="AB458" s="98">
        <v>1.1100000000000001</v>
      </c>
      <c r="AC458" s="98">
        <v>0.51</v>
      </c>
      <c r="AD458" s="98">
        <v>1320</v>
      </c>
      <c r="AE458" s="98">
        <v>200</v>
      </c>
      <c r="AF458" s="95">
        <v>4.4000000000000004</v>
      </c>
      <c r="AG458" s="98">
        <v>0.78</v>
      </c>
      <c r="AH458" s="96">
        <v>68.3</v>
      </c>
      <c r="AI458" s="96">
        <v>8.6999999999999993</v>
      </c>
      <c r="AJ458" s="95">
        <v>1.45</v>
      </c>
      <c r="AK458" s="95">
        <v>0.36</v>
      </c>
      <c r="AL458" s="96">
        <v>9.1</v>
      </c>
      <c r="AM458" s="96">
        <v>1.7</v>
      </c>
      <c r="AN458" s="96">
        <v>9.1999999999999993</v>
      </c>
      <c r="AO458" s="96">
        <v>1.8</v>
      </c>
      <c r="AP458" s="96">
        <v>2.52</v>
      </c>
      <c r="AQ458" s="96">
        <v>0.28999999999999998</v>
      </c>
      <c r="AR458" s="96">
        <v>37.9</v>
      </c>
      <c r="AS458" s="93">
        <v>6.3</v>
      </c>
      <c r="AT458" s="96">
        <v>11.5</v>
      </c>
      <c r="AU458" s="96">
        <v>1.6</v>
      </c>
      <c r="AV458" s="99">
        <v>136</v>
      </c>
      <c r="AW458" s="98">
        <v>17</v>
      </c>
      <c r="AX458" s="98">
        <v>42.7</v>
      </c>
      <c r="AY458" s="98">
        <v>6.5</v>
      </c>
      <c r="AZ458" s="98">
        <v>199</v>
      </c>
      <c r="BA458" s="98">
        <v>23</v>
      </c>
      <c r="BB458" s="98">
        <v>38.5</v>
      </c>
      <c r="BC458" s="98">
        <v>4.5999999999999996</v>
      </c>
      <c r="BD458" s="98">
        <v>324</v>
      </c>
      <c r="BE458" s="98">
        <v>51</v>
      </c>
      <c r="BF458" s="98">
        <v>61.6</v>
      </c>
      <c r="BG458" s="98">
        <v>9</v>
      </c>
      <c r="BI458" s="93">
        <v>12.1</v>
      </c>
      <c r="BJ458" s="98">
        <v>3.4</v>
      </c>
      <c r="BK458" s="98">
        <v>575000</v>
      </c>
      <c r="BL458" s="98">
        <v>76000</v>
      </c>
      <c r="BM458" s="98">
        <v>10000</v>
      </c>
      <c r="BN458" s="98">
        <v>1300</v>
      </c>
      <c r="BO458" s="99">
        <v>250</v>
      </c>
      <c r="BP458" s="98">
        <v>29</v>
      </c>
      <c r="BQ458" s="99">
        <v>192</v>
      </c>
      <c r="BR458" s="98">
        <v>23</v>
      </c>
      <c r="CD458" s="3"/>
      <c r="CE458" s="3"/>
      <c r="CF458" s="3"/>
      <c r="CL458" s="135"/>
    </row>
    <row r="459" spans="1:90" s="98" customFormat="1">
      <c r="A459" s="3" t="s">
        <v>606</v>
      </c>
      <c r="B459" s="3" t="s">
        <v>268</v>
      </c>
      <c r="C459" s="3"/>
      <c r="D459" s="93">
        <v>7.0339999999999998</v>
      </c>
      <c r="E459" s="94">
        <v>0.16438</v>
      </c>
      <c r="F459" s="94">
        <v>8.8000000000000003E-4</v>
      </c>
      <c r="G459" s="95">
        <v>10.657999999999999</v>
      </c>
      <c r="H459" s="96">
        <v>0.27</v>
      </c>
      <c r="I459" s="97">
        <v>0.4713</v>
      </c>
      <c r="J459" s="95">
        <v>0.01</v>
      </c>
      <c r="K459" s="96">
        <v>0.76932999999999996</v>
      </c>
      <c r="M459" s="99">
        <v>2489</v>
      </c>
      <c r="N459" s="98">
        <v>46</v>
      </c>
      <c r="O459" s="99">
        <v>2500.3000000000002</v>
      </c>
      <c r="P459" s="98">
        <v>6.4</v>
      </c>
      <c r="Q459" s="98">
        <v>0.39</v>
      </c>
      <c r="R459" s="97">
        <v>2E-3</v>
      </c>
      <c r="T459" s="98">
        <v>330</v>
      </c>
      <c r="U459" s="98">
        <v>110</v>
      </c>
      <c r="V459" s="98">
        <v>0.9</v>
      </c>
      <c r="W459" s="98">
        <v>1.1000000000000001</v>
      </c>
      <c r="X459" s="98" t="s">
        <v>250</v>
      </c>
      <c r="Y459" s="98" t="s">
        <v>250</v>
      </c>
      <c r="Z459" s="98">
        <v>2.27</v>
      </c>
      <c r="AA459" s="98">
        <v>0.56000000000000005</v>
      </c>
      <c r="AB459" s="98">
        <v>0.88</v>
      </c>
      <c r="AC459" s="98">
        <v>0.32</v>
      </c>
      <c r="AD459" s="98">
        <v>546</v>
      </c>
      <c r="AE459" s="98">
        <v>67</v>
      </c>
      <c r="AF459" s="95">
        <v>2.1999999999999999E-2</v>
      </c>
      <c r="AG459" s="98">
        <v>1.4999999999999999E-2</v>
      </c>
      <c r="AH459" s="96">
        <v>35</v>
      </c>
      <c r="AI459" s="96">
        <v>4</v>
      </c>
      <c r="AJ459" s="95">
        <v>8.3000000000000004E-2</v>
      </c>
      <c r="AK459" s="95">
        <v>3.3000000000000002E-2</v>
      </c>
      <c r="AL459" s="96">
        <v>1.65</v>
      </c>
      <c r="AM459" s="96">
        <v>0.47</v>
      </c>
      <c r="AN459" s="96">
        <v>1.77</v>
      </c>
      <c r="AO459" s="96">
        <v>0.86</v>
      </c>
      <c r="AP459" s="96">
        <v>0.73</v>
      </c>
      <c r="AQ459" s="96">
        <v>0.2</v>
      </c>
      <c r="AR459" s="96">
        <v>12.5</v>
      </c>
      <c r="AS459" s="93">
        <v>2.8</v>
      </c>
      <c r="AT459" s="96">
        <v>3.82</v>
      </c>
      <c r="AU459" s="96">
        <v>0.91</v>
      </c>
      <c r="AV459" s="99">
        <v>45.9</v>
      </c>
      <c r="AW459" s="98">
        <v>6.4</v>
      </c>
      <c r="AX459" s="98">
        <v>18.399999999999999</v>
      </c>
      <c r="AY459" s="98">
        <v>3</v>
      </c>
      <c r="AZ459" s="98">
        <v>83.3</v>
      </c>
      <c r="BA459" s="98">
        <v>7.5</v>
      </c>
      <c r="BB459" s="98">
        <v>17.3</v>
      </c>
      <c r="BC459" s="98">
        <v>2.1</v>
      </c>
      <c r="BD459" s="98">
        <v>156</v>
      </c>
      <c r="BE459" s="98">
        <v>18</v>
      </c>
      <c r="BF459" s="98">
        <v>30.7</v>
      </c>
      <c r="BG459" s="98">
        <v>2.8</v>
      </c>
      <c r="BI459" s="93">
        <v>13.9</v>
      </c>
      <c r="BJ459" s="98">
        <v>5.0999999999999996</v>
      </c>
      <c r="BK459" s="98">
        <v>589000</v>
      </c>
      <c r="BL459" s="98">
        <v>50000</v>
      </c>
      <c r="BM459" s="98">
        <v>10700</v>
      </c>
      <c r="BN459" s="98">
        <v>1400</v>
      </c>
      <c r="BO459" s="99">
        <v>107.5</v>
      </c>
      <c r="BP459" s="98">
        <v>9.6999999999999993</v>
      </c>
      <c r="BQ459" s="99">
        <v>121</v>
      </c>
      <c r="BR459" s="98">
        <v>12</v>
      </c>
      <c r="CD459" s="3"/>
      <c r="CE459" s="3"/>
      <c r="CF459" s="3"/>
      <c r="CL459" s="135"/>
    </row>
    <row r="460" spans="1:90" s="326" customFormat="1">
      <c r="A460" s="319" t="s">
        <v>607</v>
      </c>
      <c r="B460" s="320" t="s">
        <v>268</v>
      </c>
      <c r="C460" s="319"/>
      <c r="D460" s="321">
        <v>7.1559999999999997</v>
      </c>
      <c r="E460" s="322">
        <v>0.16725000000000001</v>
      </c>
      <c r="F460" s="322">
        <v>9.5E-4</v>
      </c>
      <c r="G460" s="323">
        <v>10.781000000000001</v>
      </c>
      <c r="H460" s="324">
        <v>0.26</v>
      </c>
      <c r="I460" s="325">
        <v>0.46800000000000003</v>
      </c>
      <c r="J460" s="323">
        <v>0.01</v>
      </c>
      <c r="K460" s="324">
        <v>0.53322000000000003</v>
      </c>
      <c r="M460" s="327">
        <v>2475</v>
      </c>
      <c r="N460" s="326">
        <v>45</v>
      </c>
      <c r="O460" s="327">
        <v>2530.1999999999998</v>
      </c>
      <c r="P460" s="326">
        <v>7.3</v>
      </c>
      <c r="Q460" s="326">
        <v>2.1800000000000002</v>
      </c>
      <c r="R460" s="325">
        <v>6.4999999999999997E-3</v>
      </c>
      <c r="T460" s="328">
        <v>323</v>
      </c>
      <c r="U460" s="328">
        <v>57</v>
      </c>
      <c r="V460" s="328" t="s">
        <v>250</v>
      </c>
      <c r="W460" s="328" t="s">
        <v>250</v>
      </c>
      <c r="X460" s="328">
        <v>0.21</v>
      </c>
      <c r="Y460" s="328">
        <v>0.26</v>
      </c>
      <c r="Z460" s="328">
        <v>3.23</v>
      </c>
      <c r="AA460" s="328">
        <v>0.77</v>
      </c>
      <c r="AB460" s="328">
        <v>1.1599999999999999</v>
      </c>
      <c r="AC460" s="328">
        <v>0.49</v>
      </c>
      <c r="AD460" s="328">
        <v>1278</v>
      </c>
      <c r="AE460" s="328">
        <v>99</v>
      </c>
      <c r="AF460" s="329">
        <v>0.9</v>
      </c>
      <c r="AG460" s="328">
        <v>0.55000000000000004</v>
      </c>
      <c r="AH460" s="331">
        <v>67.5</v>
      </c>
      <c r="AI460" s="331">
        <v>4.7</v>
      </c>
      <c r="AJ460" s="329">
        <v>0.41</v>
      </c>
      <c r="AK460" s="329">
        <v>0.16</v>
      </c>
      <c r="AL460" s="331">
        <v>5.6</v>
      </c>
      <c r="AM460" s="331">
        <v>1.2</v>
      </c>
      <c r="AN460" s="331">
        <v>8</v>
      </c>
      <c r="AO460" s="331">
        <v>1.9</v>
      </c>
      <c r="AP460" s="331">
        <v>1.53</v>
      </c>
      <c r="AQ460" s="331">
        <v>0.37</v>
      </c>
      <c r="AR460" s="331">
        <v>39.5</v>
      </c>
      <c r="AS460" s="332">
        <v>4.5999999999999996</v>
      </c>
      <c r="AT460" s="331">
        <v>11.93</v>
      </c>
      <c r="AU460" s="331">
        <v>0.98</v>
      </c>
      <c r="AV460" s="333">
        <v>139</v>
      </c>
      <c r="AW460" s="328">
        <v>11</v>
      </c>
      <c r="AX460" s="328">
        <v>46.2</v>
      </c>
      <c r="AY460" s="328">
        <v>3.8</v>
      </c>
      <c r="AZ460" s="328">
        <v>211</v>
      </c>
      <c r="BA460" s="328">
        <v>16</v>
      </c>
      <c r="BB460" s="328">
        <v>41.3</v>
      </c>
      <c r="BC460" s="328">
        <v>1.7</v>
      </c>
      <c r="BD460" s="328">
        <v>319</v>
      </c>
      <c r="BE460" s="328">
        <v>31</v>
      </c>
      <c r="BF460" s="328">
        <v>64.599999999999994</v>
      </c>
      <c r="BG460" s="328">
        <v>6.8</v>
      </c>
      <c r="BH460" s="328"/>
      <c r="BI460" s="332">
        <v>19</v>
      </c>
      <c r="BJ460" s="328">
        <v>3.5</v>
      </c>
      <c r="BK460" s="328">
        <v>499000</v>
      </c>
      <c r="BL460" s="328">
        <v>34000</v>
      </c>
      <c r="BM460" s="328">
        <v>8740</v>
      </c>
      <c r="BN460" s="328">
        <v>740</v>
      </c>
      <c r="BO460" s="333">
        <v>323</v>
      </c>
      <c r="BP460" s="328">
        <v>29</v>
      </c>
      <c r="BQ460" s="333">
        <v>248</v>
      </c>
      <c r="BR460" s="328">
        <v>25</v>
      </c>
      <c r="BS460" s="328"/>
      <c r="BT460" s="328"/>
      <c r="BU460" s="328"/>
      <c r="BV460" s="328"/>
      <c r="BW460" s="328"/>
      <c r="BX460" s="328"/>
      <c r="BY460" s="328"/>
      <c r="BZ460" s="328"/>
      <c r="CA460" s="328"/>
      <c r="CD460" s="320"/>
      <c r="CE460" s="320"/>
      <c r="CF460" s="320"/>
      <c r="CI460" s="328"/>
      <c r="CL460" s="328"/>
    </row>
    <row r="461" spans="1:90" s="98" customFormat="1">
      <c r="A461" s="3" t="s">
        <v>608</v>
      </c>
      <c r="B461" s="3" t="s">
        <v>268</v>
      </c>
      <c r="C461" s="3"/>
      <c r="D461" s="93">
        <v>7.02</v>
      </c>
      <c r="E461" s="94">
        <v>0.16627</v>
      </c>
      <c r="F461" s="94">
        <v>6.3000000000000003E-4</v>
      </c>
      <c r="G461" s="95">
        <v>12.43</v>
      </c>
      <c r="H461" s="96">
        <v>0.33</v>
      </c>
      <c r="I461" s="97">
        <v>0.54269999999999996</v>
      </c>
      <c r="J461" s="95">
        <v>1.2999999999999999E-2</v>
      </c>
      <c r="K461" s="96">
        <v>0.97174000000000005</v>
      </c>
      <c r="M461" s="99">
        <v>2795</v>
      </c>
      <c r="N461" s="98">
        <v>53</v>
      </c>
      <c r="O461" s="99">
        <v>2520.8000000000002</v>
      </c>
      <c r="P461" s="98">
        <v>4.5999999999999996</v>
      </c>
      <c r="Q461" s="98">
        <v>-10.85</v>
      </c>
      <c r="R461" s="97">
        <v>0</v>
      </c>
      <c r="T461" s="98">
        <v>280</v>
      </c>
      <c r="U461" s="98">
        <v>140</v>
      </c>
      <c r="V461" s="98">
        <v>1.4</v>
      </c>
      <c r="W461" s="98">
        <v>1.2</v>
      </c>
      <c r="X461" s="98">
        <v>0.44</v>
      </c>
      <c r="Y461" s="98">
        <v>0.3</v>
      </c>
      <c r="Z461" s="98">
        <v>5.7</v>
      </c>
      <c r="AA461" s="98">
        <v>1.5</v>
      </c>
      <c r="AB461" s="98">
        <v>1.91</v>
      </c>
      <c r="AC461" s="98">
        <v>0.79</v>
      </c>
      <c r="AD461" s="98">
        <v>648</v>
      </c>
      <c r="AE461" s="98">
        <v>67</v>
      </c>
      <c r="AF461" s="95">
        <v>0.46</v>
      </c>
      <c r="AG461" s="98">
        <v>0.14000000000000001</v>
      </c>
      <c r="AH461" s="96">
        <v>46</v>
      </c>
      <c r="AI461" s="96">
        <v>4.8</v>
      </c>
      <c r="AJ461" s="95">
        <v>0.218</v>
      </c>
      <c r="AK461" s="95">
        <v>8.8999999999999996E-2</v>
      </c>
      <c r="AL461" s="96">
        <v>1.62</v>
      </c>
      <c r="AM461" s="96">
        <v>0.75</v>
      </c>
      <c r="AN461" s="96">
        <v>2.68</v>
      </c>
      <c r="AO461" s="96">
        <v>0.91</v>
      </c>
      <c r="AP461" s="96">
        <v>0.51</v>
      </c>
      <c r="AQ461" s="96">
        <v>0.22</v>
      </c>
      <c r="AR461" s="96">
        <v>12.4</v>
      </c>
      <c r="AS461" s="93">
        <v>1.8</v>
      </c>
      <c r="AT461" s="96">
        <v>4.17</v>
      </c>
      <c r="AU461" s="96">
        <v>0.86</v>
      </c>
      <c r="AV461" s="99">
        <v>57.7</v>
      </c>
      <c r="AW461" s="98">
        <v>5</v>
      </c>
      <c r="AX461" s="98">
        <v>21.6</v>
      </c>
      <c r="AY461" s="98">
        <v>1.6</v>
      </c>
      <c r="AZ461" s="98">
        <v>102.9</v>
      </c>
      <c r="BA461" s="98">
        <v>9.5</v>
      </c>
      <c r="BB461" s="98">
        <v>22.5</v>
      </c>
      <c r="BC461" s="98">
        <v>3.2</v>
      </c>
      <c r="BD461" s="98">
        <v>190</v>
      </c>
      <c r="BE461" s="98">
        <v>16</v>
      </c>
      <c r="BF461" s="98">
        <v>38.6</v>
      </c>
      <c r="BG461" s="98">
        <v>4.5999999999999996</v>
      </c>
      <c r="BI461" s="93">
        <v>10.9</v>
      </c>
      <c r="BJ461" s="98">
        <v>4.5</v>
      </c>
      <c r="BK461" s="98">
        <v>452000</v>
      </c>
      <c r="BL461" s="98">
        <v>30000</v>
      </c>
      <c r="BM461" s="98">
        <v>9100</v>
      </c>
      <c r="BN461" s="98">
        <v>1000</v>
      </c>
      <c r="BO461" s="99">
        <v>214</v>
      </c>
      <c r="BP461" s="98">
        <v>18</v>
      </c>
      <c r="BQ461" s="99">
        <v>320</v>
      </c>
      <c r="BR461" s="98">
        <v>26</v>
      </c>
      <c r="CD461" s="3"/>
      <c r="CE461" s="3"/>
      <c r="CF461" s="3"/>
      <c r="CL461" s="135"/>
    </row>
    <row r="462" spans="1:90" s="98" customFormat="1">
      <c r="A462" s="3"/>
      <c r="B462" s="3"/>
      <c r="C462" s="3"/>
      <c r="D462" s="93"/>
      <c r="E462" s="94"/>
      <c r="F462" s="94"/>
      <c r="G462" s="95"/>
      <c r="H462" s="96"/>
      <c r="I462" s="97"/>
      <c r="J462" s="95"/>
      <c r="K462" s="96"/>
      <c r="M462" s="99"/>
      <c r="O462" s="99"/>
      <c r="R462" s="97"/>
      <c r="AF462" s="95"/>
      <c r="AH462" s="96"/>
      <c r="AI462" s="96"/>
      <c r="AJ462" s="95"/>
      <c r="AK462" s="95"/>
      <c r="AL462" s="96"/>
      <c r="AM462" s="96"/>
      <c r="AN462" s="96"/>
      <c r="AO462" s="96"/>
      <c r="AP462" s="96"/>
      <c r="AQ462" s="96"/>
      <c r="AR462" s="96"/>
      <c r="AS462" s="93"/>
      <c r="AT462" s="96"/>
      <c r="AU462" s="96"/>
      <c r="AV462" s="99"/>
      <c r="BI462" s="93"/>
      <c r="BO462" s="99"/>
      <c r="BQ462" s="99"/>
      <c r="CD462" s="3"/>
      <c r="CE462" s="3"/>
      <c r="CF462" s="3"/>
    </row>
    <row r="463" spans="1:90" s="98" customFormat="1">
      <c r="A463" s="3" t="s">
        <v>609</v>
      </c>
      <c r="B463" s="92" t="s">
        <v>244</v>
      </c>
      <c r="C463" s="3"/>
      <c r="D463" s="93">
        <v>11.015000000000001</v>
      </c>
      <c r="E463" s="94">
        <v>0.29905999999999999</v>
      </c>
      <c r="F463" s="94">
        <v>1.1000000000000001E-3</v>
      </c>
      <c r="G463" s="95">
        <v>28.971</v>
      </c>
      <c r="H463" s="96">
        <v>0.84</v>
      </c>
      <c r="I463" s="97">
        <v>0.70023000000000002</v>
      </c>
      <c r="J463" s="95">
        <v>1.9E-2</v>
      </c>
      <c r="K463" s="96">
        <v>2.7052E-2</v>
      </c>
      <c r="M463" s="99">
        <v>3421.5</v>
      </c>
      <c r="N463" s="98">
        <v>71</v>
      </c>
      <c r="O463" s="99">
        <v>3465.5</v>
      </c>
      <c r="P463" s="98">
        <v>1.4</v>
      </c>
      <c r="Q463" s="98">
        <v>1.27</v>
      </c>
      <c r="R463" s="97">
        <v>1.09E-2</v>
      </c>
      <c r="T463" s="98">
        <v>360</v>
      </c>
      <c r="U463" s="98">
        <v>150</v>
      </c>
      <c r="V463" s="98">
        <v>0.4</v>
      </c>
      <c r="W463" s="98">
        <v>1.3</v>
      </c>
      <c r="X463" s="98">
        <v>0.32</v>
      </c>
      <c r="Y463" s="98">
        <v>0.19</v>
      </c>
      <c r="Z463" s="98">
        <v>1.63</v>
      </c>
      <c r="AA463" s="98">
        <v>0.46</v>
      </c>
      <c r="AB463" s="98">
        <v>0.95</v>
      </c>
      <c r="AC463" s="98">
        <v>0.31</v>
      </c>
      <c r="AD463" s="98">
        <v>2440</v>
      </c>
      <c r="AE463" s="98">
        <v>300</v>
      </c>
      <c r="AF463" s="95">
        <v>9.0999999999999998E-2</v>
      </c>
      <c r="AG463" s="98">
        <v>4.4999999999999998E-2</v>
      </c>
      <c r="AH463" s="96">
        <v>26.6</v>
      </c>
      <c r="AI463" s="96">
        <v>3</v>
      </c>
      <c r="AJ463" s="95">
        <v>0.57999999999999996</v>
      </c>
      <c r="AK463" s="95">
        <v>0.11</v>
      </c>
      <c r="AL463" s="96">
        <v>8.4</v>
      </c>
      <c r="AM463" s="96">
        <v>1.7</v>
      </c>
      <c r="AN463" s="96">
        <v>13.5</v>
      </c>
      <c r="AO463" s="96">
        <v>2.2999999999999998</v>
      </c>
      <c r="AP463" s="96">
        <v>3.93</v>
      </c>
      <c r="AQ463" s="96">
        <v>0.64</v>
      </c>
      <c r="AR463" s="96">
        <v>67.2</v>
      </c>
      <c r="AS463" s="93">
        <v>6.9</v>
      </c>
      <c r="AT463" s="96">
        <v>21.1</v>
      </c>
      <c r="AU463" s="96">
        <v>2.5</v>
      </c>
      <c r="AV463" s="99">
        <v>224</v>
      </c>
      <c r="AW463" s="98">
        <v>21</v>
      </c>
      <c r="AX463" s="98">
        <v>87.8</v>
      </c>
      <c r="AY463" s="98">
        <v>8.5</v>
      </c>
      <c r="AZ463" s="98">
        <v>382</v>
      </c>
      <c r="BA463" s="98">
        <v>37</v>
      </c>
      <c r="BB463" s="98">
        <v>78.2</v>
      </c>
      <c r="BC463" s="98">
        <v>8.8000000000000007</v>
      </c>
      <c r="BD463" s="98">
        <v>656</v>
      </c>
      <c r="BE463" s="98">
        <v>83</v>
      </c>
      <c r="BF463" s="98">
        <v>129</v>
      </c>
      <c r="BG463" s="98">
        <v>13</v>
      </c>
      <c r="BI463" s="93">
        <v>14.9</v>
      </c>
      <c r="BJ463" s="98">
        <v>3.3</v>
      </c>
      <c r="BK463" s="98">
        <v>584000</v>
      </c>
      <c r="BL463" s="98">
        <v>59000</v>
      </c>
      <c r="BM463" s="98">
        <v>8540</v>
      </c>
      <c r="BN463" s="98">
        <v>820</v>
      </c>
      <c r="BO463" s="99">
        <v>304</v>
      </c>
      <c r="BP463" s="98">
        <v>32</v>
      </c>
      <c r="BQ463" s="99">
        <v>248</v>
      </c>
      <c r="BR463" s="98">
        <v>25</v>
      </c>
      <c r="CD463" s="3"/>
      <c r="CE463" s="3"/>
      <c r="CF463" s="3"/>
    </row>
    <row r="464" spans="1:90" s="98" customFormat="1">
      <c r="A464" s="3" t="s">
        <v>610</v>
      </c>
      <c r="B464" s="92" t="s">
        <v>244</v>
      </c>
      <c r="C464" s="3"/>
      <c r="D464" s="93">
        <v>11.051</v>
      </c>
      <c r="E464" s="94">
        <v>0.29837999999999998</v>
      </c>
      <c r="F464" s="94">
        <v>1.1000000000000001E-3</v>
      </c>
      <c r="G464" s="95">
        <v>29.82</v>
      </c>
      <c r="H464" s="96">
        <v>0.87</v>
      </c>
      <c r="I464" s="97">
        <v>0.72250000000000003</v>
      </c>
      <c r="J464" s="95">
        <v>1.9E-2</v>
      </c>
      <c r="K464" s="96">
        <v>0.69913999999999998</v>
      </c>
      <c r="M464" s="99">
        <v>3505.4</v>
      </c>
      <c r="N464" s="98">
        <v>73</v>
      </c>
      <c r="O464" s="99">
        <v>3462</v>
      </c>
      <c r="P464" s="98">
        <v>1.8</v>
      </c>
      <c r="Q464" s="98">
        <v>-1.26</v>
      </c>
      <c r="R464" s="97">
        <v>0</v>
      </c>
      <c r="T464" s="98">
        <v>180</v>
      </c>
      <c r="U464" s="98">
        <v>110</v>
      </c>
      <c r="V464" s="98" t="s">
        <v>250</v>
      </c>
      <c r="W464" s="98" t="s">
        <v>250</v>
      </c>
      <c r="X464" s="98">
        <v>0.38</v>
      </c>
      <c r="Y464" s="98">
        <v>0.27</v>
      </c>
      <c r="Z464" s="98">
        <v>1.74</v>
      </c>
      <c r="AA464" s="98">
        <v>0.55000000000000004</v>
      </c>
      <c r="AB464" s="98">
        <v>0.69</v>
      </c>
      <c r="AC464" s="98">
        <v>0.25</v>
      </c>
      <c r="AD464" s="98">
        <v>1710</v>
      </c>
      <c r="AE464" s="98">
        <v>170</v>
      </c>
      <c r="AF464" s="95">
        <v>0.17499999999999999</v>
      </c>
      <c r="AG464" s="98">
        <v>7.0999999999999994E-2</v>
      </c>
      <c r="AH464" s="96">
        <v>17.600000000000001</v>
      </c>
      <c r="AI464" s="96">
        <v>2.2000000000000002</v>
      </c>
      <c r="AJ464" s="95">
        <v>0.52</v>
      </c>
      <c r="AK464" s="95">
        <v>0.11</v>
      </c>
      <c r="AL464" s="96">
        <v>6.9</v>
      </c>
      <c r="AM464" s="96">
        <v>1.4</v>
      </c>
      <c r="AN464" s="96">
        <v>9.1999999999999993</v>
      </c>
      <c r="AO464" s="96">
        <v>2.2000000000000002</v>
      </c>
      <c r="AP464" s="96">
        <v>2.8</v>
      </c>
      <c r="AQ464" s="96">
        <v>0.4</v>
      </c>
      <c r="AR464" s="96">
        <v>44.8</v>
      </c>
      <c r="AS464" s="93">
        <v>5.7</v>
      </c>
      <c r="AT464" s="96">
        <v>13.8</v>
      </c>
      <c r="AU464" s="96">
        <v>1.6</v>
      </c>
      <c r="AV464" s="99">
        <v>146</v>
      </c>
      <c r="AW464" s="98">
        <v>11</v>
      </c>
      <c r="AX464" s="98">
        <v>57.9</v>
      </c>
      <c r="AY464" s="98">
        <v>6.1</v>
      </c>
      <c r="AZ464" s="98">
        <v>276</v>
      </c>
      <c r="BA464" s="98">
        <v>27</v>
      </c>
      <c r="BB464" s="98">
        <v>53.7</v>
      </c>
      <c r="BC464" s="98">
        <v>6.9</v>
      </c>
      <c r="BD464" s="98">
        <v>470</v>
      </c>
      <c r="BE464" s="98">
        <v>57</v>
      </c>
      <c r="BF464" s="98">
        <v>98</v>
      </c>
      <c r="BG464" s="98">
        <v>14</v>
      </c>
      <c r="BI464" s="93">
        <v>9.6</v>
      </c>
      <c r="BJ464" s="98">
        <v>2.4</v>
      </c>
      <c r="BK464" s="98">
        <v>540000</v>
      </c>
      <c r="BL464" s="98">
        <v>60000</v>
      </c>
      <c r="BM464" s="98">
        <v>8300</v>
      </c>
      <c r="BN464" s="98">
        <v>1000</v>
      </c>
      <c r="BO464" s="99">
        <v>195</v>
      </c>
      <c r="BP464" s="98">
        <v>16</v>
      </c>
      <c r="BQ464" s="99">
        <v>180</v>
      </c>
      <c r="BR464" s="98">
        <v>15</v>
      </c>
      <c r="CD464" s="3"/>
      <c r="CE464" s="3"/>
      <c r="CF464" s="3"/>
    </row>
    <row r="465" spans="1:84" s="98" customFormat="1">
      <c r="A465" s="3" t="s">
        <v>611</v>
      </c>
      <c r="B465" s="92" t="s">
        <v>244</v>
      </c>
      <c r="C465" s="3"/>
      <c r="D465" s="93">
        <v>11.035</v>
      </c>
      <c r="E465" s="94">
        <v>0.29970000000000002</v>
      </c>
      <c r="F465" s="94">
        <v>1.2999999999999999E-3</v>
      </c>
      <c r="G465" s="95">
        <v>29.42</v>
      </c>
      <c r="H465" s="96">
        <v>0.86</v>
      </c>
      <c r="I465" s="97">
        <v>0.70974000000000004</v>
      </c>
      <c r="J465" s="95">
        <v>1.9E-2</v>
      </c>
      <c r="K465" s="96">
        <v>0.54298000000000002</v>
      </c>
      <c r="M465" s="99">
        <v>3457.5</v>
      </c>
      <c r="N465" s="98">
        <v>72</v>
      </c>
      <c r="O465" s="99">
        <v>3468.6</v>
      </c>
      <c r="P465" s="98">
        <v>2.1</v>
      </c>
      <c r="Q465" s="98">
        <v>0.32100000000000001</v>
      </c>
      <c r="R465" s="97">
        <v>3.5000000000000001E-3</v>
      </c>
      <c r="T465" s="98">
        <v>320</v>
      </c>
      <c r="U465" s="98">
        <v>110</v>
      </c>
      <c r="V465" s="98">
        <v>0</v>
      </c>
      <c r="W465" s="98">
        <v>1.1000000000000001</v>
      </c>
      <c r="X465" s="98">
        <v>0.09</v>
      </c>
      <c r="Y465" s="98">
        <v>0.11</v>
      </c>
      <c r="Z465" s="98">
        <v>1.62</v>
      </c>
      <c r="AA465" s="98">
        <v>0.55000000000000004</v>
      </c>
      <c r="AB465" s="98">
        <v>0.8</v>
      </c>
      <c r="AC465" s="98">
        <v>0.33</v>
      </c>
      <c r="AD465" s="98">
        <v>790</v>
      </c>
      <c r="AE465" s="98">
        <v>77</v>
      </c>
      <c r="AF465" s="95">
        <v>1.6E-2</v>
      </c>
      <c r="AG465" s="98">
        <v>1.2999999999999999E-2</v>
      </c>
      <c r="AH465" s="96">
        <v>12.4</v>
      </c>
      <c r="AI465" s="96">
        <v>2</v>
      </c>
      <c r="AJ465" s="95">
        <v>5.7000000000000002E-2</v>
      </c>
      <c r="AK465" s="95">
        <v>3.3000000000000002E-2</v>
      </c>
      <c r="AL465" s="96">
        <v>1.1299999999999999</v>
      </c>
      <c r="AM465" s="96">
        <v>0.69</v>
      </c>
      <c r="AN465" s="96">
        <v>2.2000000000000002</v>
      </c>
      <c r="AO465" s="96">
        <v>0.68</v>
      </c>
      <c r="AP465" s="96">
        <v>0.61</v>
      </c>
      <c r="AQ465" s="96">
        <v>0.18</v>
      </c>
      <c r="AR465" s="96">
        <v>11.3</v>
      </c>
      <c r="AS465" s="93">
        <v>2.5</v>
      </c>
      <c r="AT465" s="96">
        <v>4.8</v>
      </c>
      <c r="AU465" s="96">
        <v>0.89</v>
      </c>
      <c r="AV465" s="99">
        <v>60</v>
      </c>
      <c r="AW465" s="98">
        <v>7.6</v>
      </c>
      <c r="AX465" s="98">
        <v>24.6</v>
      </c>
      <c r="AY465" s="98">
        <v>3.1</v>
      </c>
      <c r="AZ465" s="98">
        <v>142</v>
      </c>
      <c r="BA465" s="98">
        <v>17</v>
      </c>
      <c r="BB465" s="98">
        <v>29.4</v>
      </c>
      <c r="BC465" s="98">
        <v>4.2</v>
      </c>
      <c r="BD465" s="98">
        <v>288</v>
      </c>
      <c r="BE465" s="98">
        <v>35</v>
      </c>
      <c r="BF465" s="98">
        <v>64.8</v>
      </c>
      <c r="BG465" s="98">
        <v>8.1</v>
      </c>
      <c r="BI465" s="93">
        <v>10</v>
      </c>
      <c r="BJ465" s="98">
        <v>2.8</v>
      </c>
      <c r="BK465" s="98">
        <v>570000</v>
      </c>
      <c r="BL465" s="98">
        <v>84000</v>
      </c>
      <c r="BM465" s="98">
        <v>8900</v>
      </c>
      <c r="BN465" s="98">
        <v>1100</v>
      </c>
      <c r="BO465" s="99">
        <v>77.8</v>
      </c>
      <c r="BP465" s="98">
        <v>8.5</v>
      </c>
      <c r="BQ465" s="99">
        <v>129</v>
      </c>
      <c r="BR465" s="98">
        <v>14</v>
      </c>
      <c r="CD465" s="3"/>
      <c r="CE465" s="3"/>
      <c r="CF465" s="3"/>
    </row>
    <row r="466" spans="1:84" s="98" customFormat="1">
      <c r="A466" s="3" t="s">
        <v>612</v>
      </c>
      <c r="B466" s="92" t="s">
        <v>244</v>
      </c>
      <c r="C466" s="3"/>
      <c r="D466" s="93">
        <v>11.2</v>
      </c>
      <c r="E466" s="94">
        <v>0.2994</v>
      </c>
      <c r="F466" s="94">
        <v>1.1999999999999999E-3</v>
      </c>
      <c r="G466" s="95">
        <v>29.06</v>
      </c>
      <c r="H466" s="96">
        <v>0.85</v>
      </c>
      <c r="I466" s="97">
        <v>0.70299999999999996</v>
      </c>
      <c r="J466" s="95">
        <v>1.9E-2</v>
      </c>
      <c r="K466" s="96">
        <v>0.29027999999999998</v>
      </c>
      <c r="M466" s="99">
        <v>3431.8</v>
      </c>
      <c r="N466" s="98">
        <v>72</v>
      </c>
      <c r="O466" s="99">
        <v>3466.6</v>
      </c>
      <c r="P466" s="98">
        <v>2.9</v>
      </c>
      <c r="Q466" s="98">
        <v>1</v>
      </c>
      <c r="R466" s="97">
        <v>8.6E-3</v>
      </c>
      <c r="T466" s="98">
        <v>120</v>
      </c>
      <c r="U466" s="98">
        <v>150</v>
      </c>
      <c r="V466" s="98" t="s">
        <v>250</v>
      </c>
      <c r="W466" s="98" t="s">
        <v>250</v>
      </c>
      <c r="X466" s="98">
        <v>0.22</v>
      </c>
      <c r="Y466" s="98">
        <v>0.16</v>
      </c>
      <c r="Z466" s="98">
        <v>1.06</v>
      </c>
      <c r="AA466" s="98">
        <v>0.36</v>
      </c>
      <c r="AB466" s="98">
        <v>0.49</v>
      </c>
      <c r="AC466" s="98">
        <v>0.24</v>
      </c>
      <c r="AD466" s="98">
        <v>854</v>
      </c>
      <c r="AE466" s="98">
        <v>81</v>
      </c>
      <c r="AF466" s="95">
        <v>8.9999999999999993E-3</v>
      </c>
      <c r="AG466" s="98">
        <v>1.2E-2</v>
      </c>
      <c r="AH466" s="96">
        <v>13.2</v>
      </c>
      <c r="AI466" s="96">
        <v>1.9</v>
      </c>
      <c r="AJ466" s="95">
        <v>7.0000000000000007E-2</v>
      </c>
      <c r="AK466" s="95">
        <v>2.9000000000000001E-2</v>
      </c>
      <c r="AL466" s="96">
        <v>2.6</v>
      </c>
      <c r="AM466" s="96">
        <v>1</v>
      </c>
      <c r="AN466" s="96">
        <v>3.7</v>
      </c>
      <c r="AO466" s="96">
        <v>1.4</v>
      </c>
      <c r="AP466" s="96">
        <v>1.43</v>
      </c>
      <c r="AQ466" s="96">
        <v>0.3</v>
      </c>
      <c r="AR466" s="96">
        <v>21.2</v>
      </c>
      <c r="AS466" s="93">
        <v>2.7</v>
      </c>
      <c r="AT466" s="96">
        <v>6.19</v>
      </c>
      <c r="AU466" s="96">
        <v>0.83</v>
      </c>
      <c r="AV466" s="99">
        <v>69.7</v>
      </c>
      <c r="AW466" s="98">
        <v>8.1</v>
      </c>
      <c r="AX466" s="98">
        <v>26.1</v>
      </c>
      <c r="AY466" s="98">
        <v>3.9</v>
      </c>
      <c r="AZ466" s="98">
        <v>131</v>
      </c>
      <c r="BA466" s="98">
        <v>15</v>
      </c>
      <c r="BB466" s="98">
        <v>29.5</v>
      </c>
      <c r="BC466" s="98">
        <v>3.1</v>
      </c>
      <c r="BD466" s="98">
        <v>258</v>
      </c>
      <c r="BE466" s="98">
        <v>33</v>
      </c>
      <c r="BF466" s="98">
        <v>55.5</v>
      </c>
      <c r="BG466" s="98">
        <v>7.2</v>
      </c>
      <c r="BI466" s="93">
        <v>7</v>
      </c>
      <c r="BJ466" s="98">
        <v>2.2000000000000002</v>
      </c>
      <c r="BK466" s="98">
        <v>535000</v>
      </c>
      <c r="BL466" s="98">
        <v>58000</v>
      </c>
      <c r="BM466" s="98">
        <v>9000</v>
      </c>
      <c r="BN466" s="98">
        <v>1100</v>
      </c>
      <c r="BO466" s="99">
        <v>96.7</v>
      </c>
      <c r="BP466" s="98">
        <v>8.1999999999999993</v>
      </c>
      <c r="BQ466" s="99">
        <v>110</v>
      </c>
      <c r="BR466" s="98">
        <v>11</v>
      </c>
      <c r="CD466" s="3"/>
      <c r="CE466" s="3"/>
      <c r="CF466" s="3"/>
    </row>
    <row r="467" spans="1:84" s="98" customFormat="1">
      <c r="A467" s="3" t="s">
        <v>613</v>
      </c>
      <c r="B467" s="92" t="s">
        <v>244</v>
      </c>
      <c r="C467" s="3"/>
      <c r="D467" s="93">
        <v>11.053000000000001</v>
      </c>
      <c r="E467" s="94">
        <v>0.29909000000000002</v>
      </c>
      <c r="F467" s="94">
        <v>1.1000000000000001E-3</v>
      </c>
      <c r="G467" s="95">
        <v>28.798999999999999</v>
      </c>
      <c r="H467" s="96">
        <v>0.84</v>
      </c>
      <c r="I467" s="97">
        <v>0.6986</v>
      </c>
      <c r="J467" s="95">
        <v>1.9E-2</v>
      </c>
      <c r="K467" s="96">
        <v>0.31276999999999999</v>
      </c>
      <c r="M467" s="99">
        <v>3415.3</v>
      </c>
      <c r="N467" s="98">
        <v>71</v>
      </c>
      <c r="O467" s="99">
        <v>3465.5</v>
      </c>
      <c r="P467" s="98">
        <v>1.9</v>
      </c>
      <c r="Q467" s="98">
        <v>1.45</v>
      </c>
      <c r="R467" s="97">
        <v>1.0999999999999999E-2</v>
      </c>
      <c r="T467" s="98">
        <v>55</v>
      </c>
      <c r="U467" s="98">
        <v>94</v>
      </c>
      <c r="V467" s="98" t="s">
        <v>250</v>
      </c>
      <c r="W467" s="98" t="s">
        <v>250</v>
      </c>
      <c r="X467" s="98">
        <v>0.14000000000000001</v>
      </c>
      <c r="Y467" s="98">
        <v>0.13</v>
      </c>
      <c r="Z467" s="98">
        <v>1.26</v>
      </c>
      <c r="AA467" s="98">
        <v>0.4</v>
      </c>
      <c r="AB467" s="98">
        <v>0.3</v>
      </c>
      <c r="AC467" s="98">
        <v>0.16</v>
      </c>
      <c r="AD467" s="98">
        <v>717</v>
      </c>
      <c r="AE467" s="98">
        <v>85</v>
      </c>
      <c r="AF467" s="95">
        <v>6.0999999999999999E-2</v>
      </c>
      <c r="AG467" s="98">
        <v>3.7999999999999999E-2</v>
      </c>
      <c r="AH467" s="96">
        <v>12.3</v>
      </c>
      <c r="AI467" s="96">
        <v>1.7</v>
      </c>
      <c r="AJ467" s="95">
        <v>9.6000000000000002E-2</v>
      </c>
      <c r="AK467" s="95">
        <v>3.3000000000000002E-2</v>
      </c>
      <c r="AL467" s="96">
        <v>2.76</v>
      </c>
      <c r="AM467" s="96">
        <v>0.74</v>
      </c>
      <c r="AN467" s="96">
        <v>3.3</v>
      </c>
      <c r="AO467" s="96">
        <v>1.1000000000000001</v>
      </c>
      <c r="AP467" s="96">
        <v>0.78</v>
      </c>
      <c r="AQ467" s="96">
        <v>0.3</v>
      </c>
      <c r="AR467" s="96">
        <v>12.2</v>
      </c>
      <c r="AS467" s="93">
        <v>3</v>
      </c>
      <c r="AT467" s="96">
        <v>3.92</v>
      </c>
      <c r="AU467" s="96">
        <v>0.56000000000000005</v>
      </c>
      <c r="AV467" s="99">
        <v>48.4</v>
      </c>
      <c r="AW467" s="98">
        <v>4.7</v>
      </c>
      <c r="AX467" s="98">
        <v>19.600000000000001</v>
      </c>
      <c r="AY467" s="98">
        <v>2.2999999999999998</v>
      </c>
      <c r="AZ467" s="98">
        <v>116</v>
      </c>
      <c r="BA467" s="98">
        <v>11</v>
      </c>
      <c r="BB467" s="98">
        <v>28.5</v>
      </c>
      <c r="BC467" s="98">
        <v>3.5</v>
      </c>
      <c r="BD467" s="98">
        <v>311</v>
      </c>
      <c r="BE467" s="98">
        <v>29</v>
      </c>
      <c r="BF467" s="98">
        <v>66.900000000000006</v>
      </c>
      <c r="BG467" s="98">
        <v>5.9</v>
      </c>
      <c r="BI467" s="93">
        <v>3.5</v>
      </c>
      <c r="BJ467" s="98">
        <v>2.2999999999999998</v>
      </c>
      <c r="BK467" s="98">
        <v>519000</v>
      </c>
      <c r="BL467" s="98">
        <v>52000</v>
      </c>
      <c r="BM467" s="98">
        <v>10070</v>
      </c>
      <c r="BN467" s="98">
        <v>900</v>
      </c>
      <c r="BO467" s="99">
        <v>145</v>
      </c>
      <c r="BP467" s="98">
        <v>10</v>
      </c>
      <c r="BQ467" s="99">
        <v>177</v>
      </c>
      <c r="BR467" s="98">
        <v>13</v>
      </c>
      <c r="CD467" s="3"/>
      <c r="CE467" s="3"/>
      <c r="CF467" s="3"/>
    </row>
    <row r="468" spans="1:84" s="98" customFormat="1">
      <c r="A468" s="3" t="s">
        <v>614</v>
      </c>
      <c r="B468" s="92" t="s">
        <v>244</v>
      </c>
      <c r="C468" s="3"/>
      <c r="D468" s="93">
        <v>11.016999999999999</v>
      </c>
      <c r="E468" s="94">
        <v>0.29921999999999999</v>
      </c>
      <c r="F468" s="94">
        <v>9.5E-4</v>
      </c>
      <c r="G468" s="95">
        <v>29.56</v>
      </c>
      <c r="H468" s="96">
        <v>0.87</v>
      </c>
      <c r="I468" s="97">
        <v>0.71779999999999999</v>
      </c>
      <c r="J468" s="95">
        <v>0.02</v>
      </c>
      <c r="K468" s="96">
        <v>0.871</v>
      </c>
      <c r="M468" s="99">
        <v>3488</v>
      </c>
      <c r="N468" s="98">
        <v>73</v>
      </c>
      <c r="O468" s="99">
        <v>3466.4</v>
      </c>
      <c r="P468" s="98">
        <v>1.8</v>
      </c>
      <c r="Q468" s="98">
        <v>-0.62</v>
      </c>
      <c r="R468" s="97">
        <v>1.2899999999999999E-3</v>
      </c>
      <c r="T468" s="98">
        <v>70</v>
      </c>
      <c r="U468" s="98">
        <v>120</v>
      </c>
      <c r="V468" s="98">
        <v>0.2</v>
      </c>
      <c r="W468" s="98">
        <v>1.3</v>
      </c>
      <c r="X468" s="98">
        <v>6.0999999999999999E-2</v>
      </c>
      <c r="Y468" s="98">
        <v>8.6999999999999994E-2</v>
      </c>
      <c r="Z468" s="98">
        <v>1.1299999999999999</v>
      </c>
      <c r="AA468" s="98">
        <v>0.46</v>
      </c>
      <c r="AB468" s="98">
        <v>0.7</v>
      </c>
      <c r="AC468" s="98">
        <v>0.28999999999999998</v>
      </c>
      <c r="AD468" s="98">
        <v>633</v>
      </c>
      <c r="AE468" s="98">
        <v>59</v>
      </c>
      <c r="AF468" s="95">
        <v>0.218</v>
      </c>
      <c r="AG468" s="98">
        <v>6.3E-2</v>
      </c>
      <c r="AH468" s="96">
        <v>15.4</v>
      </c>
      <c r="AI468" s="96">
        <v>2.1</v>
      </c>
      <c r="AJ468" s="95">
        <v>0.32</v>
      </c>
      <c r="AK468" s="95">
        <v>0.11</v>
      </c>
      <c r="AL468" s="96">
        <v>2.4700000000000002</v>
      </c>
      <c r="AM468" s="96">
        <v>0.85</v>
      </c>
      <c r="AN468" s="96">
        <v>2.5499999999999998</v>
      </c>
      <c r="AO468" s="96">
        <v>0.95</v>
      </c>
      <c r="AP468" s="96">
        <v>0.62</v>
      </c>
      <c r="AQ468" s="96">
        <v>0.24</v>
      </c>
      <c r="AR468" s="96">
        <v>10.5</v>
      </c>
      <c r="AS468" s="93">
        <v>3.3</v>
      </c>
      <c r="AT468" s="96">
        <v>3.62</v>
      </c>
      <c r="AU468" s="96">
        <v>0.57999999999999996</v>
      </c>
      <c r="AV468" s="99">
        <v>50.6</v>
      </c>
      <c r="AW468" s="98">
        <v>8</v>
      </c>
      <c r="AX468" s="98">
        <v>17.899999999999999</v>
      </c>
      <c r="AY468" s="98">
        <v>1.6</v>
      </c>
      <c r="AZ468" s="98">
        <v>102</v>
      </c>
      <c r="BA468" s="98">
        <v>12</v>
      </c>
      <c r="BB468" s="98">
        <v>23.4</v>
      </c>
      <c r="BC468" s="98">
        <v>2.9</v>
      </c>
      <c r="BD468" s="98">
        <v>235</v>
      </c>
      <c r="BE468" s="98">
        <v>28</v>
      </c>
      <c r="BF468" s="98">
        <v>51.8</v>
      </c>
      <c r="BG468" s="98">
        <v>6.4</v>
      </c>
      <c r="BI468" s="93">
        <v>9.9</v>
      </c>
      <c r="BJ468" s="98">
        <v>3.7</v>
      </c>
      <c r="BK468" s="98">
        <v>497000</v>
      </c>
      <c r="BL468" s="98">
        <v>54000</v>
      </c>
      <c r="BM468" s="98">
        <v>8800</v>
      </c>
      <c r="BN468" s="98">
        <v>1100</v>
      </c>
      <c r="BO468" s="99">
        <v>178</v>
      </c>
      <c r="BP468" s="98">
        <v>21</v>
      </c>
      <c r="BQ468" s="99">
        <v>248</v>
      </c>
      <c r="BR468" s="98">
        <v>30</v>
      </c>
      <c r="CD468" s="3"/>
      <c r="CE468" s="3"/>
      <c r="CF468" s="3"/>
    </row>
    <row r="469" spans="1:84" s="98" customFormat="1">
      <c r="A469" s="3" t="s">
        <v>615</v>
      </c>
      <c r="B469" s="92" t="s">
        <v>244</v>
      </c>
      <c r="C469" s="3"/>
      <c r="D469" s="93">
        <v>11.03</v>
      </c>
      <c r="E469" s="94">
        <v>0.2984</v>
      </c>
      <c r="F469" s="94">
        <v>1.1999999999999999E-3</v>
      </c>
      <c r="G469" s="95">
        <v>29.37</v>
      </c>
      <c r="H469" s="96">
        <v>0.87</v>
      </c>
      <c r="I469" s="97">
        <v>0.71589999999999998</v>
      </c>
      <c r="J469" s="95">
        <v>0.02</v>
      </c>
      <c r="K469" s="96">
        <v>0.86079000000000006</v>
      </c>
      <c r="M469" s="99">
        <v>3481</v>
      </c>
      <c r="N469" s="98">
        <v>74</v>
      </c>
      <c r="O469" s="99">
        <v>3461.6</v>
      </c>
      <c r="P469" s="98">
        <v>1.7</v>
      </c>
      <c r="Q469" s="98">
        <v>-0.55000000000000004</v>
      </c>
      <c r="R469" s="97">
        <v>2E-3</v>
      </c>
      <c r="T469" s="98">
        <v>440</v>
      </c>
      <c r="U469" s="98">
        <v>160</v>
      </c>
      <c r="V469" s="98" t="s">
        <v>250</v>
      </c>
      <c r="W469" s="98" t="s">
        <v>250</v>
      </c>
      <c r="X469" s="98">
        <v>0.37</v>
      </c>
      <c r="Y469" s="98">
        <v>0.27</v>
      </c>
      <c r="Z469" s="98">
        <v>3.44</v>
      </c>
      <c r="AA469" s="98">
        <v>0.92</v>
      </c>
      <c r="AB469" s="98">
        <v>0.8</v>
      </c>
      <c r="AC469" s="98">
        <v>0.28000000000000003</v>
      </c>
      <c r="AD469" s="98">
        <v>2000</v>
      </c>
      <c r="AE469" s="98">
        <v>210</v>
      </c>
      <c r="AF469" s="95">
        <v>3.6999999999999998E-2</v>
      </c>
      <c r="AG469" s="98">
        <v>2.1999999999999999E-2</v>
      </c>
      <c r="AH469" s="96">
        <v>29.3</v>
      </c>
      <c r="AI469" s="96">
        <v>3.6</v>
      </c>
      <c r="AJ469" s="95">
        <v>0.188</v>
      </c>
      <c r="AK469" s="95">
        <v>4.4999999999999998E-2</v>
      </c>
      <c r="AL469" s="96">
        <v>3.9</v>
      </c>
      <c r="AM469" s="96">
        <v>1.2</v>
      </c>
      <c r="AN469" s="96">
        <v>4.2</v>
      </c>
      <c r="AO469" s="96">
        <v>1.1000000000000001</v>
      </c>
      <c r="AP469" s="96">
        <v>1.64</v>
      </c>
      <c r="AQ469" s="96">
        <v>0.41</v>
      </c>
      <c r="AR469" s="96">
        <v>30</v>
      </c>
      <c r="AS469" s="93">
        <v>5</v>
      </c>
      <c r="AT469" s="96">
        <v>11.1</v>
      </c>
      <c r="AU469" s="96">
        <v>1.4</v>
      </c>
      <c r="AV469" s="99">
        <v>144</v>
      </c>
      <c r="AW469" s="98">
        <v>15</v>
      </c>
      <c r="AX469" s="98">
        <v>61.6</v>
      </c>
      <c r="AY469" s="98">
        <v>6.9</v>
      </c>
      <c r="AZ469" s="98">
        <v>325</v>
      </c>
      <c r="BA469" s="98">
        <v>40</v>
      </c>
      <c r="BB469" s="98">
        <v>66.599999999999994</v>
      </c>
      <c r="BC469" s="98">
        <v>7.9</v>
      </c>
      <c r="BD469" s="98">
        <v>621</v>
      </c>
      <c r="BE469" s="98">
        <v>73</v>
      </c>
      <c r="BF469" s="98">
        <v>128</v>
      </c>
      <c r="BG469" s="98">
        <v>14</v>
      </c>
      <c r="BI469" s="93">
        <v>13</v>
      </c>
      <c r="BJ469" s="98">
        <v>3</v>
      </c>
      <c r="BK469" s="98">
        <v>507000</v>
      </c>
      <c r="BL469" s="98">
        <v>41000</v>
      </c>
      <c r="BM469" s="98">
        <v>7910</v>
      </c>
      <c r="BN469" s="98">
        <v>840</v>
      </c>
      <c r="BO469" s="99">
        <v>242</v>
      </c>
      <c r="BP469" s="98">
        <v>17</v>
      </c>
      <c r="BQ469" s="99">
        <v>282</v>
      </c>
      <c r="BR469" s="98">
        <v>25</v>
      </c>
      <c r="CD469" s="3"/>
      <c r="CE469" s="3"/>
      <c r="CF469" s="3"/>
    </row>
    <row r="470" spans="1:84" s="98" customFormat="1">
      <c r="A470" s="3" t="s">
        <v>616</v>
      </c>
      <c r="B470" s="92" t="s">
        <v>244</v>
      </c>
      <c r="C470" s="3"/>
      <c r="D470" s="93">
        <v>11.012</v>
      </c>
      <c r="E470" s="94">
        <v>0.29938999999999999</v>
      </c>
      <c r="F470" s="94">
        <v>8.8999999999999995E-4</v>
      </c>
      <c r="G470" s="95">
        <v>28.93</v>
      </c>
      <c r="H470" s="96">
        <v>0.84</v>
      </c>
      <c r="I470" s="97">
        <v>0.70389999999999997</v>
      </c>
      <c r="J470" s="95">
        <v>1.9E-2</v>
      </c>
      <c r="K470" s="96">
        <v>0.84375</v>
      </c>
      <c r="M470" s="99">
        <v>3435.3</v>
      </c>
      <c r="N470" s="98">
        <v>72</v>
      </c>
      <c r="O470" s="99">
        <v>3466.9</v>
      </c>
      <c r="P470" s="98">
        <v>1.9</v>
      </c>
      <c r="Q470" s="98">
        <v>0.91</v>
      </c>
      <c r="R470" s="97">
        <v>6.1999999999999998E-3</v>
      </c>
      <c r="T470" s="98">
        <v>300</v>
      </c>
      <c r="U470" s="98">
        <v>130</v>
      </c>
      <c r="V470" s="98" t="s">
        <v>250</v>
      </c>
      <c r="W470" s="98" t="s">
        <v>250</v>
      </c>
      <c r="X470" s="98">
        <v>3.5999999999999997E-2</v>
      </c>
      <c r="Y470" s="98">
        <v>7.5999999999999998E-2</v>
      </c>
      <c r="Z470" s="98">
        <v>1.35</v>
      </c>
      <c r="AA470" s="98">
        <v>0.69</v>
      </c>
      <c r="AB470" s="98">
        <v>0.42</v>
      </c>
      <c r="AC470" s="98">
        <v>0.28999999999999998</v>
      </c>
      <c r="AD470" s="98">
        <v>918</v>
      </c>
      <c r="AE470" s="98">
        <v>94</v>
      </c>
      <c r="AF470" s="95">
        <v>3.1E-2</v>
      </c>
      <c r="AG470" s="98">
        <v>2.1999999999999999E-2</v>
      </c>
      <c r="AH470" s="96">
        <v>11.1</v>
      </c>
      <c r="AI470" s="96">
        <v>1.7</v>
      </c>
      <c r="AJ470" s="95">
        <v>0.108</v>
      </c>
      <c r="AK470" s="95">
        <v>4.2000000000000003E-2</v>
      </c>
      <c r="AL470" s="96">
        <v>3.2</v>
      </c>
      <c r="AM470" s="96">
        <v>1.2</v>
      </c>
      <c r="AN470" s="96">
        <v>4.9000000000000004</v>
      </c>
      <c r="AO470" s="96">
        <v>1.6</v>
      </c>
      <c r="AP470" s="96">
        <v>1.25</v>
      </c>
      <c r="AQ470" s="96">
        <v>0.44</v>
      </c>
      <c r="AR470" s="96">
        <v>21.1</v>
      </c>
      <c r="AS470" s="93">
        <v>4</v>
      </c>
      <c r="AT470" s="96">
        <v>5.92</v>
      </c>
      <c r="AU470" s="96">
        <v>0.82</v>
      </c>
      <c r="AV470" s="99">
        <v>71.8</v>
      </c>
      <c r="AW470" s="98">
        <v>9</v>
      </c>
      <c r="AX470" s="98">
        <v>27.3</v>
      </c>
      <c r="AY470" s="98">
        <v>3.4</v>
      </c>
      <c r="AZ470" s="98">
        <v>145</v>
      </c>
      <c r="BA470" s="98">
        <v>17</v>
      </c>
      <c r="BB470" s="98">
        <v>32.700000000000003</v>
      </c>
      <c r="BC470" s="98">
        <v>4.7</v>
      </c>
      <c r="BD470" s="98">
        <v>284</v>
      </c>
      <c r="BE470" s="98">
        <v>47</v>
      </c>
      <c r="BF470" s="98">
        <v>58</v>
      </c>
      <c r="BG470" s="98">
        <v>9</v>
      </c>
      <c r="BI470" s="93">
        <v>4.3</v>
      </c>
      <c r="BJ470" s="98">
        <v>1.9</v>
      </c>
      <c r="BK470" s="98">
        <v>552000</v>
      </c>
      <c r="BL470" s="98">
        <v>76000</v>
      </c>
      <c r="BM470" s="98">
        <v>9200</v>
      </c>
      <c r="BN470" s="98">
        <v>1000</v>
      </c>
      <c r="BO470" s="99">
        <v>90</v>
      </c>
      <c r="BP470" s="98">
        <v>10</v>
      </c>
      <c r="BQ470" s="99">
        <v>106</v>
      </c>
      <c r="BR470" s="98">
        <v>12</v>
      </c>
      <c r="CD470" s="3"/>
      <c r="CE470" s="3"/>
      <c r="CF470" s="3"/>
    </row>
    <row r="471" spans="1:84" s="98" customFormat="1">
      <c r="A471" s="3" t="s">
        <v>617</v>
      </c>
      <c r="B471" s="92" t="s">
        <v>244</v>
      </c>
      <c r="C471" s="3"/>
      <c r="D471" s="93">
        <v>11.02</v>
      </c>
      <c r="E471" s="94">
        <v>0.29880000000000001</v>
      </c>
      <c r="F471" s="94">
        <v>1.4E-3</v>
      </c>
      <c r="G471" s="95">
        <v>28.94</v>
      </c>
      <c r="H471" s="96">
        <v>0.85</v>
      </c>
      <c r="I471" s="97">
        <v>0.70630000000000004</v>
      </c>
      <c r="J471" s="95">
        <v>1.9E-2</v>
      </c>
      <c r="K471" s="96">
        <v>0.43665999999999999</v>
      </c>
      <c r="M471" s="99">
        <v>3444.3</v>
      </c>
      <c r="N471" s="98">
        <v>72</v>
      </c>
      <c r="O471" s="99">
        <v>3463.8</v>
      </c>
      <c r="P471" s="98">
        <v>3.5</v>
      </c>
      <c r="Q471" s="98">
        <v>0.56000000000000005</v>
      </c>
      <c r="R471" s="97">
        <v>3.5000000000000001E-3</v>
      </c>
      <c r="T471" s="98">
        <v>150</v>
      </c>
      <c r="U471" s="98">
        <v>160</v>
      </c>
      <c r="V471" s="98" t="s">
        <v>250</v>
      </c>
      <c r="W471" s="98" t="s">
        <v>250</v>
      </c>
      <c r="X471" s="98">
        <v>0.2</v>
      </c>
      <c r="Y471" s="98">
        <v>0.19</v>
      </c>
      <c r="Z471" s="98">
        <v>0.99</v>
      </c>
      <c r="AA471" s="98">
        <v>0.44</v>
      </c>
      <c r="AB471" s="98">
        <v>0.55000000000000004</v>
      </c>
      <c r="AC471" s="98">
        <v>0.28000000000000003</v>
      </c>
      <c r="AD471" s="98">
        <v>619</v>
      </c>
      <c r="AE471" s="98">
        <v>63</v>
      </c>
      <c r="AF471" s="95">
        <v>3.1E-2</v>
      </c>
      <c r="AG471" s="98">
        <v>2.5000000000000001E-2</v>
      </c>
      <c r="AH471" s="96">
        <v>9.4</v>
      </c>
      <c r="AI471" s="96">
        <v>1.4</v>
      </c>
      <c r="AJ471" s="95">
        <v>6.9000000000000006E-2</v>
      </c>
      <c r="AK471" s="95">
        <v>3.6999999999999998E-2</v>
      </c>
      <c r="AL471" s="96">
        <v>0.65</v>
      </c>
      <c r="AM471" s="96">
        <v>0.34</v>
      </c>
      <c r="AN471" s="96">
        <v>2.34</v>
      </c>
      <c r="AO471" s="96">
        <v>0.9</v>
      </c>
      <c r="AP471" s="96">
        <v>0.57999999999999996</v>
      </c>
      <c r="AQ471" s="96">
        <v>0.24</v>
      </c>
      <c r="AR471" s="96">
        <v>11.2</v>
      </c>
      <c r="AS471" s="93">
        <v>3.2</v>
      </c>
      <c r="AT471" s="96">
        <v>3.49</v>
      </c>
      <c r="AU471" s="96">
        <v>0.53</v>
      </c>
      <c r="AV471" s="99">
        <v>48.9</v>
      </c>
      <c r="AW471" s="98">
        <v>6.6</v>
      </c>
      <c r="AX471" s="98">
        <v>19.600000000000001</v>
      </c>
      <c r="AY471" s="98">
        <v>2.6</v>
      </c>
      <c r="AZ471" s="98">
        <v>103</v>
      </c>
      <c r="BA471" s="98">
        <v>10</v>
      </c>
      <c r="BB471" s="98">
        <v>22.3</v>
      </c>
      <c r="BC471" s="98">
        <v>2.4</v>
      </c>
      <c r="BD471" s="98">
        <v>222</v>
      </c>
      <c r="BE471" s="98">
        <v>27</v>
      </c>
      <c r="BF471" s="98">
        <v>48.5</v>
      </c>
      <c r="BG471" s="98">
        <v>6.3</v>
      </c>
      <c r="BI471" s="93">
        <v>5.5</v>
      </c>
      <c r="BJ471" s="98">
        <v>2.4</v>
      </c>
      <c r="BK471" s="98">
        <v>596000</v>
      </c>
      <c r="BL471" s="98">
        <v>70000</v>
      </c>
      <c r="BM471" s="98">
        <v>9990</v>
      </c>
      <c r="BN471" s="98">
        <v>1300</v>
      </c>
      <c r="BO471" s="99">
        <v>63.8</v>
      </c>
      <c r="BP471" s="98">
        <v>5</v>
      </c>
      <c r="BQ471" s="99">
        <v>91.7</v>
      </c>
      <c r="BR471" s="98">
        <v>7</v>
      </c>
      <c r="CD471" s="3"/>
      <c r="CE471" s="3"/>
      <c r="CF471" s="3"/>
    </row>
    <row r="472" spans="1:84" s="98" customFormat="1">
      <c r="A472" s="3" t="s">
        <v>618</v>
      </c>
      <c r="B472" s="92" t="s">
        <v>244</v>
      </c>
      <c r="C472" s="3"/>
      <c r="D472" s="93">
        <v>11.2</v>
      </c>
      <c r="E472" s="94">
        <v>0.29883999999999999</v>
      </c>
      <c r="F472" s="94">
        <v>8.9999999999999998E-4</v>
      </c>
      <c r="G472" s="95">
        <v>28.88</v>
      </c>
      <c r="H472" s="96">
        <v>0.84</v>
      </c>
      <c r="I472" s="97">
        <v>0.70450000000000002</v>
      </c>
      <c r="J472" s="95">
        <v>1.9E-2</v>
      </c>
      <c r="K472" s="96">
        <v>0.76517999999999997</v>
      </c>
      <c r="M472" s="99">
        <v>3437.6</v>
      </c>
      <c r="N472" s="98">
        <v>72</v>
      </c>
      <c r="O472" s="99">
        <v>3465.1</v>
      </c>
      <c r="P472" s="98">
        <v>2.6</v>
      </c>
      <c r="Q472" s="98">
        <v>0.79</v>
      </c>
      <c r="R472" s="97">
        <v>4.7000000000000002E-3</v>
      </c>
      <c r="T472" s="98">
        <v>160</v>
      </c>
      <c r="U472" s="98">
        <v>140</v>
      </c>
      <c r="V472" s="98" t="s">
        <v>250</v>
      </c>
      <c r="W472" s="98" t="s">
        <v>250</v>
      </c>
      <c r="X472" s="98">
        <v>4.2000000000000003E-2</v>
      </c>
      <c r="Y472" s="98">
        <v>0.09</v>
      </c>
      <c r="Z472" s="98">
        <v>1.28</v>
      </c>
      <c r="AA472" s="98">
        <v>0.48</v>
      </c>
      <c r="AB472" s="98">
        <v>0.66</v>
      </c>
      <c r="AC472" s="98">
        <v>0.28000000000000003</v>
      </c>
      <c r="AD472" s="98">
        <v>558</v>
      </c>
      <c r="AE472" s="98">
        <v>67</v>
      </c>
      <c r="AF472" s="95">
        <v>1.9E-2</v>
      </c>
      <c r="AG472" s="98">
        <v>2.1000000000000001E-2</v>
      </c>
      <c r="AH472" s="96">
        <v>13.4</v>
      </c>
      <c r="AI472" s="96">
        <v>1.6</v>
      </c>
      <c r="AJ472" s="95">
        <v>9.0999999999999998E-2</v>
      </c>
      <c r="AK472" s="95">
        <v>5.3999999999999999E-2</v>
      </c>
      <c r="AL472" s="96">
        <v>0.99</v>
      </c>
      <c r="AM472" s="96">
        <v>0.61</v>
      </c>
      <c r="AN472" s="96">
        <v>2.2400000000000002</v>
      </c>
      <c r="AO472" s="96">
        <v>0.86</v>
      </c>
      <c r="AP472" s="96">
        <v>0.4</v>
      </c>
      <c r="AQ472" s="96">
        <v>0.15</v>
      </c>
      <c r="AR472" s="96">
        <v>10.5</v>
      </c>
      <c r="AS472" s="93">
        <v>2.8</v>
      </c>
      <c r="AT472" s="96">
        <v>2.83</v>
      </c>
      <c r="AU472" s="96">
        <v>0.51</v>
      </c>
      <c r="AV472" s="99">
        <v>37.299999999999997</v>
      </c>
      <c r="AW472" s="98">
        <v>4.3</v>
      </c>
      <c r="AX472" s="98">
        <v>16.5</v>
      </c>
      <c r="AY472" s="98">
        <v>1.7</v>
      </c>
      <c r="AZ472" s="98">
        <v>91</v>
      </c>
      <c r="BA472" s="98">
        <v>10</v>
      </c>
      <c r="BB472" s="98">
        <v>21.8</v>
      </c>
      <c r="BC472" s="98">
        <v>2.8</v>
      </c>
      <c r="BD472" s="98">
        <v>225</v>
      </c>
      <c r="BE472" s="98">
        <v>29</v>
      </c>
      <c r="BF472" s="98">
        <v>48.4</v>
      </c>
      <c r="BG472" s="98">
        <v>6.3</v>
      </c>
      <c r="BI472" s="93">
        <v>6.8</v>
      </c>
      <c r="BJ472" s="98">
        <v>2.6</v>
      </c>
      <c r="BK472" s="98">
        <v>505000</v>
      </c>
      <c r="BL472" s="98">
        <v>55000</v>
      </c>
      <c r="BM472" s="98">
        <v>9510</v>
      </c>
      <c r="BN472" s="98">
        <v>950</v>
      </c>
      <c r="BO472" s="99">
        <v>114.5</v>
      </c>
      <c r="BP472" s="98">
        <v>9.1999999999999993</v>
      </c>
      <c r="BQ472" s="99">
        <v>186</v>
      </c>
      <c r="BR472" s="98">
        <v>16</v>
      </c>
      <c r="CD472" s="3"/>
      <c r="CE472" s="3"/>
      <c r="CF472" s="3"/>
    </row>
    <row r="473" spans="1:84" s="98" customFormat="1">
      <c r="A473" s="3" t="s">
        <v>619</v>
      </c>
      <c r="B473" s="92" t="s">
        <v>244</v>
      </c>
      <c r="C473" s="3"/>
      <c r="D473" s="93">
        <v>11.089</v>
      </c>
      <c r="E473" s="94">
        <v>0.29992000000000002</v>
      </c>
      <c r="F473" s="94">
        <v>1.1000000000000001E-3</v>
      </c>
      <c r="G473" s="95">
        <v>28.55</v>
      </c>
      <c r="H473" s="96">
        <v>0.83</v>
      </c>
      <c r="I473" s="97">
        <v>0.69499999999999995</v>
      </c>
      <c r="J473" s="95">
        <v>1.9E-2</v>
      </c>
      <c r="K473" s="96">
        <v>0.69506000000000001</v>
      </c>
      <c r="M473" s="99">
        <v>3401.6</v>
      </c>
      <c r="N473" s="98">
        <v>71</v>
      </c>
      <c r="O473" s="99">
        <v>3469.6</v>
      </c>
      <c r="P473" s="98">
        <v>2.9</v>
      </c>
      <c r="Q473" s="98">
        <v>1.96</v>
      </c>
      <c r="R473" s="97">
        <v>1.2699999999999999E-2</v>
      </c>
      <c r="T473" s="98">
        <v>140</v>
      </c>
      <c r="U473" s="98">
        <v>130</v>
      </c>
      <c r="V473" s="98">
        <v>0.2</v>
      </c>
      <c r="W473" s="98">
        <v>1.4</v>
      </c>
      <c r="X473" s="98">
        <v>2.7E-2</v>
      </c>
      <c r="Y473" s="98">
        <v>5.8999999999999997E-2</v>
      </c>
      <c r="Z473" s="98">
        <v>1.1499999999999999</v>
      </c>
      <c r="AA473" s="98">
        <v>0.46</v>
      </c>
      <c r="AB473" s="98">
        <v>0.42</v>
      </c>
      <c r="AC473" s="98">
        <v>0.3</v>
      </c>
      <c r="AD473" s="98">
        <v>1160</v>
      </c>
      <c r="AE473" s="98">
        <v>150</v>
      </c>
      <c r="AF473" s="95">
        <v>7.3999999999999996E-2</v>
      </c>
      <c r="AG473" s="98">
        <v>6.3E-2</v>
      </c>
      <c r="AH473" s="96">
        <v>15</v>
      </c>
      <c r="AI473" s="96">
        <v>2.4</v>
      </c>
      <c r="AJ473" s="95">
        <v>0.16800000000000001</v>
      </c>
      <c r="AK473" s="95">
        <v>7.2999999999999995E-2</v>
      </c>
      <c r="AL473" s="96">
        <v>2.4</v>
      </c>
      <c r="AM473" s="96">
        <v>0.83</v>
      </c>
      <c r="AN473" s="96">
        <v>5.8</v>
      </c>
      <c r="AO473" s="96">
        <v>1.5</v>
      </c>
      <c r="AP473" s="96">
        <v>1.26</v>
      </c>
      <c r="AQ473" s="96">
        <v>0.39</v>
      </c>
      <c r="AR473" s="96">
        <v>23.7</v>
      </c>
      <c r="AS473" s="93">
        <v>4.3</v>
      </c>
      <c r="AT473" s="96">
        <v>6.7</v>
      </c>
      <c r="AU473" s="96">
        <v>1.1000000000000001</v>
      </c>
      <c r="AV473" s="99">
        <v>84</v>
      </c>
      <c r="AW473" s="98">
        <v>13</v>
      </c>
      <c r="AX473" s="98">
        <v>33.700000000000003</v>
      </c>
      <c r="AY473" s="98">
        <v>3.5</v>
      </c>
      <c r="AZ473" s="98">
        <v>169</v>
      </c>
      <c r="BA473" s="98">
        <v>17</v>
      </c>
      <c r="BB473" s="98">
        <v>38.299999999999997</v>
      </c>
      <c r="BC473" s="98">
        <v>4</v>
      </c>
      <c r="BD473" s="98">
        <v>350</v>
      </c>
      <c r="BE473" s="98">
        <v>46</v>
      </c>
      <c r="BF473" s="98">
        <v>75</v>
      </c>
      <c r="BG473" s="98">
        <v>11</v>
      </c>
      <c r="BI473" s="93">
        <v>3.9</v>
      </c>
      <c r="BJ473" s="98">
        <v>2.8</v>
      </c>
      <c r="BK473" s="98">
        <v>586000</v>
      </c>
      <c r="BL473" s="98">
        <v>72000</v>
      </c>
      <c r="BM473" s="98">
        <v>11000</v>
      </c>
      <c r="BN473" s="98">
        <v>1500</v>
      </c>
      <c r="BO473" s="99">
        <v>145</v>
      </c>
      <c r="BP473" s="98">
        <v>14</v>
      </c>
      <c r="BQ473" s="99">
        <v>160</v>
      </c>
      <c r="BR473" s="98">
        <v>15</v>
      </c>
      <c r="CD473" s="3"/>
      <c r="CE473" s="3"/>
      <c r="CF473" s="3"/>
    </row>
    <row r="474" spans="1:84" s="98" customFormat="1">
      <c r="A474" s="3" t="s">
        <v>620</v>
      </c>
      <c r="B474" s="92" t="s">
        <v>244</v>
      </c>
      <c r="C474" s="3"/>
      <c r="D474" s="93">
        <v>11.005000000000001</v>
      </c>
      <c r="E474" s="94">
        <v>0.29879</v>
      </c>
      <c r="F474" s="94">
        <v>1.1000000000000001E-3</v>
      </c>
      <c r="G474" s="95">
        <v>29.76</v>
      </c>
      <c r="H474" s="96">
        <v>0.88</v>
      </c>
      <c r="I474" s="97">
        <v>0.72719999999999996</v>
      </c>
      <c r="J474" s="95">
        <v>0.02</v>
      </c>
      <c r="K474" s="96">
        <v>0.89468999999999999</v>
      </c>
      <c r="M474" s="99">
        <v>3523</v>
      </c>
      <c r="N474" s="98">
        <v>75</v>
      </c>
      <c r="O474" s="99">
        <v>3463.6</v>
      </c>
      <c r="P474" s="98">
        <v>1.9</v>
      </c>
      <c r="Q474" s="98">
        <v>-1.69</v>
      </c>
      <c r="R474" s="97">
        <v>4.0000000000000003E-5</v>
      </c>
      <c r="T474" s="98">
        <v>340</v>
      </c>
      <c r="U474" s="98">
        <v>140</v>
      </c>
      <c r="V474" s="98" t="s">
        <v>250</v>
      </c>
      <c r="W474" s="98" t="s">
        <v>250</v>
      </c>
      <c r="X474" s="98" t="s">
        <v>250</v>
      </c>
      <c r="Y474" s="98" t="s">
        <v>250</v>
      </c>
      <c r="Z474" s="98">
        <v>1.57</v>
      </c>
      <c r="AA474" s="98">
        <v>0.59</v>
      </c>
      <c r="AB474" s="98">
        <v>0.33</v>
      </c>
      <c r="AC474" s="98">
        <v>0.22</v>
      </c>
      <c r="AD474" s="98">
        <v>572</v>
      </c>
      <c r="AE474" s="98">
        <v>52</v>
      </c>
      <c r="AF474" s="95">
        <v>0.123</v>
      </c>
      <c r="AG474" s="98">
        <v>5.2999999999999999E-2</v>
      </c>
      <c r="AH474" s="96">
        <v>10.1</v>
      </c>
      <c r="AI474" s="96">
        <v>2.1</v>
      </c>
      <c r="AJ474" s="95">
        <v>0.22800000000000001</v>
      </c>
      <c r="AK474" s="95">
        <v>7.4999999999999997E-2</v>
      </c>
      <c r="AL474" s="96">
        <v>1.77</v>
      </c>
      <c r="AM474" s="96">
        <v>0.7</v>
      </c>
      <c r="AN474" s="96">
        <v>2.3199999999999998</v>
      </c>
      <c r="AO474" s="96">
        <v>0.79</v>
      </c>
      <c r="AP474" s="96">
        <v>0.64</v>
      </c>
      <c r="AQ474" s="96">
        <v>0.3</v>
      </c>
      <c r="AR474" s="96">
        <v>10.6</v>
      </c>
      <c r="AS474" s="93">
        <v>2.8</v>
      </c>
      <c r="AT474" s="96">
        <v>3.42</v>
      </c>
      <c r="AU474" s="96">
        <v>0.51</v>
      </c>
      <c r="AV474" s="99">
        <v>38.9</v>
      </c>
      <c r="AW474" s="98">
        <v>3.8</v>
      </c>
      <c r="AX474" s="98">
        <v>17</v>
      </c>
      <c r="AY474" s="98">
        <v>2.1</v>
      </c>
      <c r="AZ474" s="98">
        <v>99</v>
      </c>
      <c r="BA474" s="98">
        <v>11</v>
      </c>
      <c r="BB474" s="98">
        <v>21.2</v>
      </c>
      <c r="BC474" s="98">
        <v>2.9</v>
      </c>
      <c r="BD474" s="98">
        <v>223</v>
      </c>
      <c r="BE474" s="98">
        <v>24</v>
      </c>
      <c r="BF474" s="98">
        <v>49.9</v>
      </c>
      <c r="BG474" s="98">
        <v>6.2</v>
      </c>
      <c r="BI474" s="93">
        <v>6.3</v>
      </c>
      <c r="BJ474" s="98">
        <v>2.8</v>
      </c>
      <c r="BK474" s="98">
        <v>519000</v>
      </c>
      <c r="BL474" s="98">
        <v>43000</v>
      </c>
      <c r="BM474" s="98">
        <v>9800</v>
      </c>
      <c r="BN474" s="98">
        <v>1200</v>
      </c>
      <c r="BO474" s="99">
        <v>62.6</v>
      </c>
      <c r="BP474" s="98">
        <v>4.3</v>
      </c>
      <c r="BQ474" s="99">
        <v>106.4</v>
      </c>
      <c r="BR474" s="98">
        <v>7.8</v>
      </c>
      <c r="CD474" s="3"/>
      <c r="CE474" s="3"/>
      <c r="CF474" s="3"/>
    </row>
    <row r="475" spans="1:84" s="98" customFormat="1">
      <c r="A475" s="3" t="s">
        <v>621</v>
      </c>
      <c r="B475" s="92" t="s">
        <v>244</v>
      </c>
      <c r="C475" s="3"/>
      <c r="D475" s="93">
        <v>11.141</v>
      </c>
      <c r="E475" s="94">
        <v>0.29944999999999999</v>
      </c>
      <c r="F475" s="94">
        <v>1E-3</v>
      </c>
      <c r="G475" s="95">
        <v>29.22</v>
      </c>
      <c r="H475" s="96">
        <v>0.85</v>
      </c>
      <c r="I475" s="97">
        <v>0.71250000000000002</v>
      </c>
      <c r="J475" s="95">
        <v>1.9E-2</v>
      </c>
      <c r="K475" s="96">
        <v>0.68798999999999999</v>
      </c>
      <c r="M475" s="99">
        <v>3468</v>
      </c>
      <c r="N475" s="98">
        <v>72</v>
      </c>
      <c r="O475" s="99">
        <v>3467</v>
      </c>
      <c r="P475" s="98">
        <v>2.1</v>
      </c>
      <c r="Q475" s="98">
        <v>-0.03</v>
      </c>
      <c r="R475" s="97">
        <v>4.6000000000000001E-4</v>
      </c>
      <c r="T475" s="98">
        <v>740</v>
      </c>
      <c r="U475" s="98">
        <v>190</v>
      </c>
      <c r="V475" s="98">
        <v>0.7</v>
      </c>
      <c r="W475" s="98">
        <v>1.4</v>
      </c>
      <c r="X475" s="98">
        <v>0.9</v>
      </c>
      <c r="Y475" s="98">
        <v>0.34</v>
      </c>
      <c r="Z475" s="98">
        <v>0.65</v>
      </c>
      <c r="AA475" s="98">
        <v>0.34</v>
      </c>
      <c r="AB475" s="98">
        <v>0.61</v>
      </c>
      <c r="AC475" s="98">
        <v>0.25</v>
      </c>
      <c r="AD475" s="98">
        <v>1230</v>
      </c>
      <c r="AE475" s="98">
        <v>120</v>
      </c>
      <c r="AF475" s="95">
        <v>1.19</v>
      </c>
      <c r="AG475" s="98">
        <v>0.2</v>
      </c>
      <c r="AH475" s="96">
        <v>15.8</v>
      </c>
      <c r="AI475" s="96">
        <v>2.2999999999999998</v>
      </c>
      <c r="AJ475" s="95">
        <v>0.93</v>
      </c>
      <c r="AK475" s="95">
        <v>0.11</v>
      </c>
      <c r="AL475" s="96">
        <v>7.8</v>
      </c>
      <c r="AM475" s="96">
        <v>1.4</v>
      </c>
      <c r="AN475" s="96">
        <v>7.2</v>
      </c>
      <c r="AO475" s="96">
        <v>1.4</v>
      </c>
      <c r="AP475" s="96">
        <v>1.78</v>
      </c>
      <c r="AQ475" s="96">
        <v>0.34</v>
      </c>
      <c r="AR475" s="96">
        <v>27.1</v>
      </c>
      <c r="AS475" s="93">
        <v>3.5</v>
      </c>
      <c r="AT475" s="96">
        <v>7.6</v>
      </c>
      <c r="AU475" s="96">
        <v>1.3</v>
      </c>
      <c r="AV475" s="99">
        <v>99</v>
      </c>
      <c r="AW475" s="98">
        <v>11</v>
      </c>
      <c r="AX475" s="98">
        <v>36.4</v>
      </c>
      <c r="AY475" s="98">
        <v>3.8</v>
      </c>
      <c r="AZ475" s="98">
        <v>193</v>
      </c>
      <c r="BA475" s="98">
        <v>21</v>
      </c>
      <c r="BB475" s="98">
        <v>39</v>
      </c>
      <c r="BC475" s="98">
        <v>4.0999999999999996</v>
      </c>
      <c r="BD475" s="98">
        <v>378</v>
      </c>
      <c r="BE475" s="98">
        <v>36</v>
      </c>
      <c r="BF475" s="98">
        <v>77.2</v>
      </c>
      <c r="BG475" s="98">
        <v>8.1999999999999993</v>
      </c>
      <c r="BI475" s="93">
        <v>7.3</v>
      </c>
      <c r="BJ475" s="98">
        <v>3.1</v>
      </c>
      <c r="BK475" s="98">
        <v>530000</v>
      </c>
      <c r="BL475" s="98">
        <v>57000</v>
      </c>
      <c r="BM475" s="98">
        <v>8650</v>
      </c>
      <c r="BN475" s="98">
        <v>980</v>
      </c>
      <c r="BO475" s="99">
        <v>158</v>
      </c>
      <c r="BP475" s="98">
        <v>14</v>
      </c>
      <c r="BQ475" s="99">
        <v>172</v>
      </c>
      <c r="BR475" s="98">
        <v>16</v>
      </c>
      <c r="CD475" s="3"/>
      <c r="CE475" s="3"/>
      <c r="CF475" s="3"/>
    </row>
    <row r="476" spans="1:84" s="98" customFormat="1">
      <c r="A476" s="3" t="s">
        <v>622</v>
      </c>
      <c r="B476" s="92" t="s">
        <v>244</v>
      </c>
      <c r="C476" s="3"/>
      <c r="D476" s="93">
        <v>11.089</v>
      </c>
      <c r="E476" s="94">
        <v>0.30010999999999999</v>
      </c>
      <c r="F476" s="94">
        <v>1.1000000000000001E-3</v>
      </c>
      <c r="G476" s="95">
        <v>28.774999999999999</v>
      </c>
      <c r="H476" s="96">
        <v>0.84</v>
      </c>
      <c r="I476" s="97">
        <v>0.70008000000000004</v>
      </c>
      <c r="J476" s="95">
        <v>1.9E-2</v>
      </c>
      <c r="K476" s="96">
        <v>7.8706999999999999E-2</v>
      </c>
      <c r="M476" s="99">
        <v>3420.9</v>
      </c>
      <c r="N476" s="98">
        <v>71</v>
      </c>
      <c r="O476" s="99">
        <v>3470.8</v>
      </c>
      <c r="P476" s="98">
        <v>2.5</v>
      </c>
      <c r="Q476" s="98">
        <v>1.44</v>
      </c>
      <c r="R476" s="97">
        <v>8.6999999999999994E-3</v>
      </c>
      <c r="T476" s="98">
        <v>350</v>
      </c>
      <c r="U476" s="98">
        <v>120</v>
      </c>
      <c r="V476" s="98">
        <v>0.1</v>
      </c>
      <c r="W476" s="98">
        <v>1.4</v>
      </c>
      <c r="X476" s="98">
        <v>0.3</v>
      </c>
      <c r="Y476" s="98">
        <v>0.23</v>
      </c>
      <c r="Z476" s="98">
        <v>1.91</v>
      </c>
      <c r="AA476" s="98">
        <v>0.65</v>
      </c>
      <c r="AB476" s="98">
        <v>0.71</v>
      </c>
      <c r="AC476" s="98">
        <v>0.44</v>
      </c>
      <c r="AD476" s="98">
        <v>639</v>
      </c>
      <c r="AE476" s="98">
        <v>84</v>
      </c>
      <c r="AF476" s="95">
        <v>6.9000000000000006E-2</v>
      </c>
      <c r="AG476" s="98">
        <v>5.5E-2</v>
      </c>
      <c r="AH476" s="96">
        <v>11.1</v>
      </c>
      <c r="AI476" s="96">
        <v>1.7</v>
      </c>
      <c r="AJ476" s="95">
        <v>4.3999999999999997E-2</v>
      </c>
      <c r="AK476" s="95">
        <v>2.5999999999999999E-2</v>
      </c>
      <c r="AL476" s="96">
        <v>0.65</v>
      </c>
      <c r="AM476" s="96">
        <v>0.5</v>
      </c>
      <c r="AN476" s="96">
        <v>1.45</v>
      </c>
      <c r="AO476" s="96">
        <v>0.56000000000000005</v>
      </c>
      <c r="AP476" s="96">
        <v>0.48</v>
      </c>
      <c r="AQ476" s="96">
        <v>0.16</v>
      </c>
      <c r="AR476" s="96">
        <v>11.2</v>
      </c>
      <c r="AS476" s="93">
        <v>2.8</v>
      </c>
      <c r="AT476" s="96">
        <v>3.93</v>
      </c>
      <c r="AU476" s="96">
        <v>0.74</v>
      </c>
      <c r="AV476" s="99">
        <v>42.6</v>
      </c>
      <c r="AW476" s="98">
        <v>5.3</v>
      </c>
      <c r="AX476" s="98">
        <v>19.3</v>
      </c>
      <c r="AY476" s="98">
        <v>2.6</v>
      </c>
      <c r="AZ476" s="98">
        <v>105</v>
      </c>
      <c r="BA476" s="98">
        <v>11</v>
      </c>
      <c r="BB476" s="98">
        <v>24</v>
      </c>
      <c r="BC476" s="98">
        <v>3</v>
      </c>
      <c r="BD476" s="98">
        <v>244</v>
      </c>
      <c r="BE476" s="98">
        <v>29</v>
      </c>
      <c r="BF476" s="98">
        <v>56.4</v>
      </c>
      <c r="BG476" s="98">
        <v>7.5</v>
      </c>
      <c r="BI476" s="93">
        <v>7.8</v>
      </c>
      <c r="BJ476" s="98">
        <v>3.6</v>
      </c>
      <c r="BK476" s="98">
        <v>547000</v>
      </c>
      <c r="BL476" s="98">
        <v>61000</v>
      </c>
      <c r="BM476" s="98">
        <v>10100</v>
      </c>
      <c r="BN476" s="98">
        <v>1200</v>
      </c>
      <c r="BO476" s="99">
        <v>75.3</v>
      </c>
      <c r="BP476" s="98">
        <v>8.4</v>
      </c>
      <c r="BQ476" s="99">
        <v>125</v>
      </c>
      <c r="BR476" s="98">
        <v>13</v>
      </c>
      <c r="CD476" s="3"/>
      <c r="CE476" s="3"/>
      <c r="CF476" s="3"/>
    </row>
    <row r="477" spans="1:84" s="98" customFormat="1">
      <c r="A477" s="3" t="s">
        <v>623</v>
      </c>
      <c r="B477" s="92" t="s">
        <v>244</v>
      </c>
      <c r="C477" s="3"/>
      <c r="D477" s="93">
        <v>11.039</v>
      </c>
      <c r="E477" s="94">
        <v>0.29832999999999998</v>
      </c>
      <c r="F477" s="94">
        <v>8.4999999999999995E-4</v>
      </c>
      <c r="G477" s="95">
        <v>29.53</v>
      </c>
      <c r="H477" s="96">
        <v>0.86</v>
      </c>
      <c r="I477" s="97">
        <v>0.72209999999999996</v>
      </c>
      <c r="J477" s="95">
        <v>0.02</v>
      </c>
      <c r="K477" s="96">
        <v>0.81477999999999995</v>
      </c>
      <c r="M477" s="99">
        <v>3504</v>
      </c>
      <c r="N477" s="98">
        <v>73</v>
      </c>
      <c r="O477" s="99">
        <v>3462.9</v>
      </c>
      <c r="P477" s="98">
        <v>1.7</v>
      </c>
      <c r="Q477" s="98">
        <v>-1.18</v>
      </c>
      <c r="R477" s="97">
        <v>-8.0000000000000007E-5</v>
      </c>
      <c r="T477" s="98">
        <v>220</v>
      </c>
      <c r="U477" s="98">
        <v>100</v>
      </c>
      <c r="V477" s="98" t="s">
        <v>250</v>
      </c>
      <c r="W477" s="98" t="s">
        <v>250</v>
      </c>
      <c r="X477" s="98">
        <v>4.4999999999999998E-2</v>
      </c>
      <c r="Y477" s="98">
        <v>9.4E-2</v>
      </c>
      <c r="Z477" s="98">
        <v>1.19</v>
      </c>
      <c r="AA477" s="98">
        <v>0.54</v>
      </c>
      <c r="AB477" s="98">
        <v>0.41</v>
      </c>
      <c r="AC477" s="98">
        <v>0.21</v>
      </c>
      <c r="AD477" s="98">
        <v>860</v>
      </c>
      <c r="AE477" s="98">
        <v>110</v>
      </c>
      <c r="AF477" s="95">
        <v>7.2999999999999995E-2</v>
      </c>
      <c r="AG477" s="98">
        <v>0.04</v>
      </c>
      <c r="AH477" s="96">
        <v>12.6</v>
      </c>
      <c r="AI477" s="96">
        <v>1.2</v>
      </c>
      <c r="AJ477" s="95">
        <v>0.14899999999999999</v>
      </c>
      <c r="AK477" s="95">
        <v>4.9000000000000002E-2</v>
      </c>
      <c r="AL477" s="96">
        <v>1.48</v>
      </c>
      <c r="AM477" s="96">
        <v>0.53</v>
      </c>
      <c r="AN477" s="96">
        <v>2.0299999999999998</v>
      </c>
      <c r="AO477" s="96">
        <v>0.75</v>
      </c>
      <c r="AP477" s="96">
        <v>0.7</v>
      </c>
      <c r="AQ477" s="96">
        <v>0.32</v>
      </c>
      <c r="AR477" s="96">
        <v>12.6</v>
      </c>
      <c r="AS477" s="93">
        <v>2.7</v>
      </c>
      <c r="AT477" s="96">
        <v>5.3</v>
      </c>
      <c r="AU477" s="96">
        <v>1.2</v>
      </c>
      <c r="AV477" s="99">
        <v>62.1</v>
      </c>
      <c r="AW477" s="98">
        <v>9.5</v>
      </c>
      <c r="AX477" s="98">
        <v>25.7</v>
      </c>
      <c r="AY477" s="98">
        <v>3.1</v>
      </c>
      <c r="AZ477" s="98">
        <v>135</v>
      </c>
      <c r="BA477" s="98">
        <v>17</v>
      </c>
      <c r="BB477" s="98">
        <v>31.8</v>
      </c>
      <c r="BC477" s="98">
        <v>3.6</v>
      </c>
      <c r="BD477" s="98">
        <v>331</v>
      </c>
      <c r="BE477" s="98">
        <v>37</v>
      </c>
      <c r="BF477" s="98">
        <v>71.2</v>
      </c>
      <c r="BG477" s="98">
        <v>7.8</v>
      </c>
      <c r="BI477" s="93">
        <v>6.8</v>
      </c>
      <c r="BJ477" s="98">
        <v>3.4</v>
      </c>
      <c r="BK477" s="98">
        <v>521000</v>
      </c>
      <c r="BL477" s="98">
        <v>54000</v>
      </c>
      <c r="BM477" s="98">
        <v>9970</v>
      </c>
      <c r="BN477" s="98">
        <v>1200</v>
      </c>
      <c r="BO477" s="99">
        <v>121</v>
      </c>
      <c r="BP477" s="98">
        <v>12</v>
      </c>
      <c r="BQ477" s="99">
        <v>169</v>
      </c>
      <c r="BR477" s="98">
        <v>15</v>
      </c>
      <c r="CD477" s="3"/>
      <c r="CE477" s="3"/>
      <c r="CF477" s="3"/>
    </row>
    <row r="478" spans="1:84" s="98" customFormat="1">
      <c r="A478" s="3" t="s">
        <v>624</v>
      </c>
      <c r="B478" s="92" t="s">
        <v>244</v>
      </c>
      <c r="C478" s="3"/>
      <c r="D478" s="93">
        <v>11.228</v>
      </c>
      <c r="E478" s="94">
        <v>0.29871999999999999</v>
      </c>
      <c r="F478" s="94">
        <v>1E-3</v>
      </c>
      <c r="G478" s="95">
        <v>28.6</v>
      </c>
      <c r="H478" s="96">
        <v>0.83</v>
      </c>
      <c r="I478" s="97">
        <v>0.69830000000000003</v>
      </c>
      <c r="J478" s="95">
        <v>1.9E-2</v>
      </c>
      <c r="K478" s="96">
        <v>0.67806999999999995</v>
      </c>
      <c r="M478" s="99">
        <v>3414.2</v>
      </c>
      <c r="N478" s="98">
        <v>71</v>
      </c>
      <c r="O478" s="99">
        <v>3463.9</v>
      </c>
      <c r="P478" s="98">
        <v>2.2999999999999998</v>
      </c>
      <c r="Q478" s="98">
        <v>1.47</v>
      </c>
      <c r="R478" s="97">
        <v>8.8999999999999999E-3</v>
      </c>
      <c r="T478" s="98">
        <v>130</v>
      </c>
      <c r="U478" s="98">
        <v>200</v>
      </c>
      <c r="V478" s="98" t="s">
        <v>250</v>
      </c>
      <c r="W478" s="98" t="s">
        <v>250</v>
      </c>
      <c r="X478" s="98">
        <v>3.1E-2</v>
      </c>
      <c r="Y478" s="98">
        <v>6.7000000000000004E-2</v>
      </c>
      <c r="Z478" s="98">
        <v>2</v>
      </c>
      <c r="AA478" s="98">
        <v>0.72</v>
      </c>
      <c r="AB478" s="98">
        <v>0.78</v>
      </c>
      <c r="AC478" s="98">
        <v>0.33</v>
      </c>
      <c r="AD478" s="98">
        <v>858</v>
      </c>
      <c r="AE478" s="98">
        <v>86</v>
      </c>
      <c r="AF478" s="95">
        <v>9.9000000000000005E-2</v>
      </c>
      <c r="AG478" s="98">
        <v>5.0999999999999997E-2</v>
      </c>
      <c r="AH478" s="96">
        <v>14</v>
      </c>
      <c r="AI478" s="96">
        <v>2.2000000000000002</v>
      </c>
      <c r="AJ478" s="95">
        <v>0.17199999999999999</v>
      </c>
      <c r="AK478" s="95">
        <v>6.0999999999999999E-2</v>
      </c>
      <c r="AL478" s="96">
        <v>2.4700000000000002</v>
      </c>
      <c r="AM478" s="96">
        <v>0.73</v>
      </c>
      <c r="AN478" s="96">
        <v>2.61</v>
      </c>
      <c r="AO478" s="96">
        <v>0.86</v>
      </c>
      <c r="AP478" s="96">
        <v>0.92</v>
      </c>
      <c r="AQ478" s="96">
        <v>0.28000000000000003</v>
      </c>
      <c r="AR478" s="96">
        <v>14.9</v>
      </c>
      <c r="AS478" s="93">
        <v>2.7</v>
      </c>
      <c r="AT478" s="96">
        <v>4.82</v>
      </c>
      <c r="AU478" s="96">
        <v>0.85</v>
      </c>
      <c r="AV478" s="99">
        <v>63.8</v>
      </c>
      <c r="AW478" s="98">
        <v>6.4</v>
      </c>
      <c r="AX478" s="98">
        <v>26.4</v>
      </c>
      <c r="AY478" s="98">
        <v>2.2999999999999998</v>
      </c>
      <c r="AZ478" s="98">
        <v>136</v>
      </c>
      <c r="BA478" s="98">
        <v>13</v>
      </c>
      <c r="BB478" s="98">
        <v>31.3</v>
      </c>
      <c r="BC478" s="98">
        <v>2.6</v>
      </c>
      <c r="BD478" s="98">
        <v>282</v>
      </c>
      <c r="BE478" s="98">
        <v>29</v>
      </c>
      <c r="BF478" s="98">
        <v>61.9</v>
      </c>
      <c r="BG478" s="98">
        <v>6.1</v>
      </c>
      <c r="BI478" s="93">
        <v>10.6</v>
      </c>
      <c r="BJ478" s="98">
        <v>4</v>
      </c>
      <c r="BK478" s="98">
        <v>523000</v>
      </c>
      <c r="BL478" s="98">
        <v>50000</v>
      </c>
      <c r="BM478" s="98">
        <v>8580</v>
      </c>
      <c r="BN478" s="98">
        <v>940</v>
      </c>
      <c r="BO478" s="99">
        <v>97.5</v>
      </c>
      <c r="BP478" s="98">
        <v>7.4</v>
      </c>
      <c r="BQ478" s="99">
        <v>141</v>
      </c>
      <c r="BR478" s="98">
        <v>11</v>
      </c>
      <c r="CD478" s="3"/>
      <c r="CE478" s="3"/>
      <c r="CF478" s="3"/>
    </row>
    <row r="479" spans="1:84" s="98" customFormat="1">
      <c r="A479" s="3" t="s">
        <v>625</v>
      </c>
      <c r="B479" s="92" t="s">
        <v>244</v>
      </c>
      <c r="C479" s="3"/>
      <c r="D479" s="93">
        <v>11.004</v>
      </c>
      <c r="E479" s="94">
        <v>0.29859999999999998</v>
      </c>
      <c r="F479" s="94">
        <v>1.1000000000000001E-3</v>
      </c>
      <c r="G479" s="95">
        <v>28.96</v>
      </c>
      <c r="H479" s="96">
        <v>0.84</v>
      </c>
      <c r="I479" s="97">
        <v>0.70704</v>
      </c>
      <c r="J479" s="95">
        <v>1.9E-2</v>
      </c>
      <c r="K479" s="96">
        <v>0.58294999999999997</v>
      </c>
      <c r="M479" s="99">
        <v>3447.3</v>
      </c>
      <c r="N479" s="98">
        <v>72</v>
      </c>
      <c r="O479" s="99">
        <v>3462.8</v>
      </c>
      <c r="P479" s="98">
        <v>2.5</v>
      </c>
      <c r="Q479" s="98">
        <v>0.45</v>
      </c>
      <c r="R479" s="97">
        <v>1.9E-3</v>
      </c>
      <c r="T479" s="98">
        <v>290</v>
      </c>
      <c r="U479" s="98">
        <v>150</v>
      </c>
      <c r="V479" s="98">
        <v>1.1000000000000001</v>
      </c>
      <c r="W479" s="98">
        <v>1.8</v>
      </c>
      <c r="X479" s="98">
        <v>0.17</v>
      </c>
      <c r="Y479" s="98">
        <v>0.19</v>
      </c>
      <c r="Z479" s="98">
        <v>1.45</v>
      </c>
      <c r="AA479" s="98">
        <v>0.72</v>
      </c>
      <c r="AB479" s="98">
        <v>1.17</v>
      </c>
      <c r="AC479" s="98">
        <v>0.52</v>
      </c>
      <c r="AD479" s="98">
        <v>1570</v>
      </c>
      <c r="AE479" s="98">
        <v>240</v>
      </c>
      <c r="AF479" s="95">
        <v>6.8000000000000005E-2</v>
      </c>
      <c r="AG479" s="98">
        <v>4.7E-2</v>
      </c>
      <c r="AH479" s="96">
        <v>15.8</v>
      </c>
      <c r="AI479" s="96">
        <v>2.6</v>
      </c>
      <c r="AJ479" s="95">
        <v>0.24</v>
      </c>
      <c r="AK479" s="95">
        <v>8.2000000000000003E-2</v>
      </c>
      <c r="AL479" s="96">
        <v>5.7</v>
      </c>
      <c r="AM479" s="96">
        <v>1.4</v>
      </c>
      <c r="AN479" s="96">
        <v>6.8</v>
      </c>
      <c r="AO479" s="96">
        <v>1.5</v>
      </c>
      <c r="AP479" s="96">
        <v>1.87</v>
      </c>
      <c r="AQ479" s="96">
        <v>0.61</v>
      </c>
      <c r="AR479" s="96">
        <v>36.700000000000003</v>
      </c>
      <c r="AS479" s="93">
        <v>7.3</v>
      </c>
      <c r="AT479" s="96">
        <v>12.7</v>
      </c>
      <c r="AU479" s="96">
        <v>1.6</v>
      </c>
      <c r="AV479" s="99">
        <v>129</v>
      </c>
      <c r="AW479" s="98">
        <v>16</v>
      </c>
      <c r="AX479" s="98">
        <v>51.6</v>
      </c>
      <c r="AY479" s="98">
        <v>5.8</v>
      </c>
      <c r="AZ479" s="98">
        <v>259</v>
      </c>
      <c r="BA479" s="98">
        <v>32</v>
      </c>
      <c r="BB479" s="98">
        <v>53.1</v>
      </c>
      <c r="BC479" s="98">
        <v>8.8000000000000007</v>
      </c>
      <c r="BD479" s="98">
        <v>449</v>
      </c>
      <c r="BE479" s="98">
        <v>68</v>
      </c>
      <c r="BF479" s="98">
        <v>97</v>
      </c>
      <c r="BG479" s="98">
        <v>14</v>
      </c>
      <c r="BI479" s="93">
        <v>6.2</v>
      </c>
      <c r="BJ479" s="98">
        <v>3.1</v>
      </c>
      <c r="BK479" s="98">
        <v>574000</v>
      </c>
      <c r="BL479" s="98">
        <v>90000</v>
      </c>
      <c r="BM479" s="98">
        <v>8500</v>
      </c>
      <c r="BN479" s="98">
        <v>1200</v>
      </c>
      <c r="BO479" s="99">
        <v>172</v>
      </c>
      <c r="BP479" s="98">
        <v>21</v>
      </c>
      <c r="BQ479" s="99">
        <v>180</v>
      </c>
      <c r="BR479" s="98">
        <v>24</v>
      </c>
      <c r="CD479" s="3"/>
      <c r="CE479" s="3"/>
      <c r="CF479" s="3"/>
    </row>
    <row r="480" spans="1:84" s="98" customFormat="1">
      <c r="A480" s="3" t="s">
        <v>626</v>
      </c>
      <c r="B480" s="92" t="s">
        <v>244</v>
      </c>
      <c r="C480" s="3"/>
      <c r="D480" s="93">
        <v>11.047000000000001</v>
      </c>
      <c r="E480" s="94">
        <v>0.29879</v>
      </c>
      <c r="F480" s="94">
        <v>1.1000000000000001E-3</v>
      </c>
      <c r="G480" s="95">
        <v>28.99</v>
      </c>
      <c r="H480" s="96">
        <v>0.85</v>
      </c>
      <c r="I480" s="97">
        <v>0.70679999999999998</v>
      </c>
      <c r="J480" s="95">
        <v>1.9E-2</v>
      </c>
      <c r="K480" s="96">
        <v>0.78034000000000003</v>
      </c>
      <c r="M480" s="99">
        <v>3446.2</v>
      </c>
      <c r="N480" s="98">
        <v>72</v>
      </c>
      <c r="O480" s="99">
        <v>3464.1</v>
      </c>
      <c r="P480" s="98">
        <v>3.1</v>
      </c>
      <c r="Q480" s="98">
        <v>0.52</v>
      </c>
      <c r="R480" s="97">
        <v>2.7000000000000001E-3</v>
      </c>
      <c r="T480" s="98">
        <v>340</v>
      </c>
      <c r="U480" s="98">
        <v>170</v>
      </c>
      <c r="V480" s="98">
        <v>1.1000000000000001</v>
      </c>
      <c r="W480" s="98">
        <v>2.2000000000000002</v>
      </c>
      <c r="X480" s="98">
        <v>0.3</v>
      </c>
      <c r="Y480" s="98">
        <v>0.25</v>
      </c>
      <c r="Z480" s="98">
        <v>2.27</v>
      </c>
      <c r="AA480" s="98">
        <v>0.56999999999999995</v>
      </c>
      <c r="AB480" s="98">
        <v>0.99</v>
      </c>
      <c r="AC480" s="98">
        <v>0.77</v>
      </c>
      <c r="AD480" s="98">
        <v>960</v>
      </c>
      <c r="AE480" s="98">
        <v>100</v>
      </c>
      <c r="AF480" s="95">
        <v>0.09</v>
      </c>
      <c r="AG480" s="98">
        <v>4.7E-2</v>
      </c>
      <c r="AH480" s="96">
        <v>14.5</v>
      </c>
      <c r="AI480" s="96">
        <v>2.6</v>
      </c>
      <c r="AJ480" s="95">
        <v>0.10299999999999999</v>
      </c>
      <c r="AK480" s="95">
        <v>4.3999999999999997E-2</v>
      </c>
      <c r="AL480" s="96">
        <v>1.8</v>
      </c>
      <c r="AM480" s="96">
        <v>0.55000000000000004</v>
      </c>
      <c r="AN480" s="96">
        <v>3.5</v>
      </c>
      <c r="AO480" s="96">
        <v>1.6</v>
      </c>
      <c r="AP480" s="96">
        <v>0.9</v>
      </c>
      <c r="AQ480" s="96">
        <v>0.31</v>
      </c>
      <c r="AR480" s="96">
        <v>15.6</v>
      </c>
      <c r="AS480" s="93">
        <v>3.9</v>
      </c>
      <c r="AT480" s="96">
        <v>5.66</v>
      </c>
      <c r="AU480" s="96">
        <v>0.93</v>
      </c>
      <c r="AV480" s="99">
        <v>67.3</v>
      </c>
      <c r="AW480" s="98">
        <v>9.5</v>
      </c>
      <c r="AX480" s="98">
        <v>28.8</v>
      </c>
      <c r="AY480" s="98">
        <v>3.1</v>
      </c>
      <c r="AZ480" s="98">
        <v>159</v>
      </c>
      <c r="BA480" s="98">
        <v>19</v>
      </c>
      <c r="BB480" s="98">
        <v>35.799999999999997</v>
      </c>
      <c r="BC480" s="98">
        <v>4.0999999999999996</v>
      </c>
      <c r="BD480" s="98">
        <v>308</v>
      </c>
      <c r="BE480" s="98">
        <v>35</v>
      </c>
      <c r="BF480" s="98">
        <v>73</v>
      </c>
      <c r="BG480" s="98">
        <v>10</v>
      </c>
      <c r="BI480" s="93">
        <v>11.5</v>
      </c>
      <c r="BJ480" s="98">
        <v>5</v>
      </c>
      <c r="BK480" s="98">
        <v>558000</v>
      </c>
      <c r="BL480" s="98">
        <v>67000</v>
      </c>
      <c r="BM480" s="98">
        <v>9000</v>
      </c>
      <c r="BN480" s="98">
        <v>1100</v>
      </c>
      <c r="BO480" s="99">
        <v>94.9</v>
      </c>
      <c r="BP480" s="98">
        <v>9.3000000000000007</v>
      </c>
      <c r="BQ480" s="99">
        <v>149</v>
      </c>
      <c r="BR480" s="98">
        <v>15</v>
      </c>
      <c r="CD480" s="3"/>
      <c r="CE480" s="3"/>
      <c r="CF480" s="3"/>
    </row>
    <row r="481" spans="1:84" s="98" customFormat="1">
      <c r="A481" s="3" t="s">
        <v>627</v>
      </c>
      <c r="B481" s="92" t="s">
        <v>244</v>
      </c>
      <c r="C481" s="3"/>
      <c r="D481" s="93">
        <v>11.035</v>
      </c>
      <c r="E481" s="94">
        <v>0.29875000000000002</v>
      </c>
      <c r="F481" s="94">
        <v>1.1000000000000001E-3</v>
      </c>
      <c r="G481" s="95">
        <v>29.81</v>
      </c>
      <c r="H481" s="96">
        <v>0.88</v>
      </c>
      <c r="I481" s="97">
        <v>0.72629999999999995</v>
      </c>
      <c r="J481" s="95">
        <v>0.02</v>
      </c>
      <c r="K481" s="96">
        <v>0.83084000000000002</v>
      </c>
      <c r="M481" s="99">
        <v>3520</v>
      </c>
      <c r="N481" s="98">
        <v>74</v>
      </c>
      <c r="O481" s="99">
        <v>3463.2</v>
      </c>
      <c r="P481" s="98">
        <v>2.2999999999999998</v>
      </c>
      <c r="Q481" s="98">
        <v>-1.63</v>
      </c>
      <c r="R481" s="97">
        <v>-9.0000000000000006E-5</v>
      </c>
      <c r="T481" s="98">
        <v>250</v>
      </c>
      <c r="U481" s="98">
        <v>130</v>
      </c>
      <c r="V481" s="98">
        <v>0.9</v>
      </c>
      <c r="W481" s="98">
        <v>1.7</v>
      </c>
      <c r="X481" s="98">
        <v>0.15</v>
      </c>
      <c r="Y481" s="98">
        <v>0.22</v>
      </c>
      <c r="Z481" s="98">
        <v>1.36</v>
      </c>
      <c r="AA481" s="98">
        <v>0.53</v>
      </c>
      <c r="AB481" s="98">
        <v>0.36</v>
      </c>
      <c r="AC481" s="98">
        <v>0.19</v>
      </c>
      <c r="AD481" s="98">
        <v>1270</v>
      </c>
      <c r="AE481" s="98">
        <v>140</v>
      </c>
      <c r="AF481" s="95">
        <v>8.6999999999999994E-2</v>
      </c>
      <c r="AG481" s="98">
        <v>5.6000000000000001E-2</v>
      </c>
      <c r="AH481" s="96">
        <v>14.9</v>
      </c>
      <c r="AI481" s="96">
        <v>1.3</v>
      </c>
      <c r="AJ481" s="95">
        <v>0.23200000000000001</v>
      </c>
      <c r="AK481" s="95">
        <v>6.0999999999999999E-2</v>
      </c>
      <c r="AL481" s="96">
        <v>3.6</v>
      </c>
      <c r="AM481" s="96">
        <v>1.2</v>
      </c>
      <c r="AN481" s="96">
        <v>9.5</v>
      </c>
      <c r="AO481" s="96">
        <v>1.9</v>
      </c>
      <c r="AP481" s="96">
        <v>1.68</v>
      </c>
      <c r="AQ481" s="96">
        <v>0.41</v>
      </c>
      <c r="AR481" s="96">
        <v>33.4</v>
      </c>
      <c r="AS481" s="93">
        <v>3.6</v>
      </c>
      <c r="AT481" s="96">
        <v>10.1</v>
      </c>
      <c r="AU481" s="96">
        <v>1.1000000000000001</v>
      </c>
      <c r="AV481" s="99">
        <v>114</v>
      </c>
      <c r="AW481" s="98">
        <v>13</v>
      </c>
      <c r="AX481" s="98">
        <v>40</v>
      </c>
      <c r="AY481" s="98">
        <v>3.8</v>
      </c>
      <c r="AZ481" s="98">
        <v>190</v>
      </c>
      <c r="BA481" s="98">
        <v>15</v>
      </c>
      <c r="BB481" s="98">
        <v>35.9</v>
      </c>
      <c r="BC481" s="98">
        <v>4.0999999999999996</v>
      </c>
      <c r="BD481" s="98">
        <v>310</v>
      </c>
      <c r="BE481" s="98">
        <v>24</v>
      </c>
      <c r="BF481" s="98">
        <v>67.3</v>
      </c>
      <c r="BG481" s="98">
        <v>6.8</v>
      </c>
      <c r="BI481" s="93">
        <v>9.5</v>
      </c>
      <c r="BJ481" s="98">
        <v>3.8</v>
      </c>
      <c r="BK481" s="98">
        <v>539000</v>
      </c>
      <c r="BL481" s="98">
        <v>70000</v>
      </c>
      <c r="BM481" s="98">
        <v>8250</v>
      </c>
      <c r="BN481" s="98">
        <v>780</v>
      </c>
      <c r="BO481" s="99">
        <v>114.6</v>
      </c>
      <c r="BP481" s="98">
        <v>9.1999999999999993</v>
      </c>
      <c r="BQ481" s="99">
        <v>113.9</v>
      </c>
      <c r="BR481" s="98">
        <v>9.1</v>
      </c>
      <c r="CD481" s="3"/>
      <c r="CE481" s="3"/>
      <c r="CF481" s="3"/>
    </row>
    <row r="482" spans="1:84" s="98" customFormat="1">
      <c r="A482" s="3" t="s">
        <v>628</v>
      </c>
      <c r="B482" s="92" t="s">
        <v>244</v>
      </c>
      <c r="C482" s="3"/>
      <c r="D482" s="93">
        <v>11.021000000000001</v>
      </c>
      <c r="E482" s="94">
        <v>0.29909999999999998</v>
      </c>
      <c r="F482" s="94">
        <v>1.1999999999999999E-3</v>
      </c>
      <c r="G482" s="95">
        <v>29.21</v>
      </c>
      <c r="H482" s="96">
        <v>0.85</v>
      </c>
      <c r="I482" s="97">
        <v>0.71030000000000004</v>
      </c>
      <c r="J482" s="95">
        <v>1.9E-2</v>
      </c>
      <c r="K482" s="96">
        <v>0.69320999999999999</v>
      </c>
      <c r="M482" s="99">
        <v>3459.4</v>
      </c>
      <c r="N482" s="98">
        <v>72</v>
      </c>
      <c r="O482" s="99">
        <v>3465.6</v>
      </c>
      <c r="P482" s="98">
        <v>2.4</v>
      </c>
      <c r="Q482" s="98">
        <v>0.18</v>
      </c>
      <c r="R482" s="97">
        <v>2.1900000000000001E-3</v>
      </c>
      <c r="T482" s="98">
        <v>80</v>
      </c>
      <c r="U482" s="98">
        <v>130</v>
      </c>
      <c r="V482" s="98">
        <v>0.3</v>
      </c>
      <c r="W482" s="98">
        <v>1.6</v>
      </c>
      <c r="X482" s="98">
        <v>3.5999999999999997E-2</v>
      </c>
      <c r="Y482" s="98">
        <v>7.6999999999999999E-2</v>
      </c>
      <c r="Z482" s="98">
        <v>1.5</v>
      </c>
      <c r="AA482" s="98">
        <v>0.59</v>
      </c>
      <c r="AB482" s="98">
        <v>0.61</v>
      </c>
      <c r="AC482" s="98">
        <v>0.28000000000000003</v>
      </c>
      <c r="AD482" s="98">
        <v>469</v>
      </c>
      <c r="AE482" s="98">
        <v>48</v>
      </c>
      <c r="AF482" s="95">
        <v>0.104</v>
      </c>
      <c r="AG482" s="98">
        <v>0.06</v>
      </c>
      <c r="AH482" s="96">
        <v>9.8000000000000007</v>
      </c>
      <c r="AI482" s="96">
        <v>1.1000000000000001</v>
      </c>
      <c r="AJ482" s="95">
        <v>2.7E-2</v>
      </c>
      <c r="AK482" s="95">
        <v>2.1000000000000001E-2</v>
      </c>
      <c r="AL482" s="96">
        <v>0.28000000000000003</v>
      </c>
      <c r="AM482" s="96">
        <v>0.27</v>
      </c>
      <c r="AN482" s="96">
        <v>1.39</v>
      </c>
      <c r="AO482" s="96">
        <v>0.76</v>
      </c>
      <c r="AP482" s="96">
        <v>0.41</v>
      </c>
      <c r="AQ482" s="96">
        <v>0.19</v>
      </c>
      <c r="AR482" s="96">
        <v>7</v>
      </c>
      <c r="AS482" s="93">
        <v>1.7</v>
      </c>
      <c r="AT482" s="96">
        <v>3.13</v>
      </c>
      <c r="AU482" s="96">
        <v>0.81</v>
      </c>
      <c r="AV482" s="99">
        <v>36.799999999999997</v>
      </c>
      <c r="AW482" s="98">
        <v>6.2</v>
      </c>
      <c r="AX482" s="98">
        <v>17.2</v>
      </c>
      <c r="AY482" s="98">
        <v>1.8</v>
      </c>
      <c r="AZ482" s="98">
        <v>77.7</v>
      </c>
      <c r="BA482" s="98">
        <v>7.9</v>
      </c>
      <c r="BB482" s="98">
        <v>18.600000000000001</v>
      </c>
      <c r="BC482" s="98">
        <v>2.6</v>
      </c>
      <c r="BD482" s="98">
        <v>193</v>
      </c>
      <c r="BE482" s="98">
        <v>22</v>
      </c>
      <c r="BF482" s="98">
        <v>44.7</v>
      </c>
      <c r="BG482" s="98">
        <v>5.4</v>
      </c>
      <c r="BI482" s="93">
        <v>7.8</v>
      </c>
      <c r="BJ482" s="98">
        <v>2.9</v>
      </c>
      <c r="BK482" s="98">
        <v>475000</v>
      </c>
      <c r="BL482" s="98">
        <v>39000</v>
      </c>
      <c r="BM482" s="98">
        <v>8600</v>
      </c>
      <c r="BN482" s="98">
        <v>1100</v>
      </c>
      <c r="BO482" s="99">
        <v>68.599999999999994</v>
      </c>
      <c r="BP482" s="98">
        <v>6.7</v>
      </c>
      <c r="BQ482" s="99">
        <v>118</v>
      </c>
      <c r="BR482" s="98">
        <v>12</v>
      </c>
      <c r="CD482" s="3"/>
      <c r="CE482" s="3"/>
      <c r="CF482" s="3"/>
    </row>
    <row r="483" spans="1:84" s="98" customFormat="1">
      <c r="A483" s="3" t="s">
        <v>629</v>
      </c>
      <c r="B483" s="92" t="s">
        <v>244</v>
      </c>
      <c r="C483" s="3"/>
      <c r="D483" s="93">
        <v>11.004</v>
      </c>
      <c r="E483" s="94" t="s">
        <v>480</v>
      </c>
      <c r="F483" s="94" t="s">
        <v>481</v>
      </c>
      <c r="G483" s="95" t="s">
        <v>480</v>
      </c>
      <c r="H483" s="96" t="s">
        <v>481</v>
      </c>
      <c r="I483" s="97" t="s">
        <v>480</v>
      </c>
      <c r="J483" s="95" t="s">
        <v>481</v>
      </c>
      <c r="K483" s="96" t="s">
        <v>482</v>
      </c>
      <c r="M483" s="99" t="s">
        <v>480</v>
      </c>
      <c r="N483" s="98" t="s">
        <v>481</v>
      </c>
      <c r="O483" s="99" t="s">
        <v>480</v>
      </c>
      <c r="P483" s="98" t="s">
        <v>481</v>
      </c>
      <c r="Q483" s="98" t="s">
        <v>480</v>
      </c>
      <c r="R483" s="97" t="s">
        <v>480</v>
      </c>
      <c r="T483" s="98">
        <v>198</v>
      </c>
      <c r="U483" s="98">
        <v>98</v>
      </c>
      <c r="V483" s="98">
        <v>0.9</v>
      </c>
      <c r="W483" s="98">
        <v>1.9</v>
      </c>
      <c r="X483" s="98">
        <v>0.65</v>
      </c>
      <c r="Y483" s="98">
        <v>0.35</v>
      </c>
      <c r="Z483" s="98">
        <v>0.84</v>
      </c>
      <c r="AA483" s="98">
        <v>0.41</v>
      </c>
      <c r="AB483" s="98">
        <v>0.59</v>
      </c>
      <c r="AC483" s="98">
        <v>0.36</v>
      </c>
      <c r="AD483" s="98">
        <v>902</v>
      </c>
      <c r="AE483" s="98">
        <v>97</v>
      </c>
      <c r="AF483" s="95">
        <v>1.1100000000000001</v>
      </c>
      <c r="AG483" s="98">
        <v>0.19</v>
      </c>
      <c r="AH483" s="96">
        <v>26.1</v>
      </c>
      <c r="AI483" s="96">
        <v>5.7</v>
      </c>
      <c r="AJ483" s="95">
        <v>1.32</v>
      </c>
      <c r="AK483" s="95">
        <v>0.27</v>
      </c>
      <c r="AL483" s="96">
        <v>13</v>
      </c>
      <c r="AM483" s="96">
        <v>2.4</v>
      </c>
      <c r="AN483" s="96">
        <v>11.2</v>
      </c>
      <c r="AO483" s="96">
        <v>2.9</v>
      </c>
      <c r="AP483" s="96">
        <v>2.66</v>
      </c>
      <c r="AQ483" s="96">
        <v>0.59</v>
      </c>
      <c r="AR483" s="96">
        <v>25.3</v>
      </c>
      <c r="AS483" s="93">
        <v>3.9</v>
      </c>
      <c r="AT483" s="96">
        <v>6.29</v>
      </c>
      <c r="AU483" s="96">
        <v>0.96</v>
      </c>
      <c r="AV483" s="99">
        <v>79.2</v>
      </c>
      <c r="AW483" s="98">
        <v>8.1</v>
      </c>
      <c r="AX483" s="98">
        <v>28.4</v>
      </c>
      <c r="AY483" s="98">
        <v>3.4</v>
      </c>
      <c r="AZ483" s="98">
        <v>141</v>
      </c>
      <c r="BA483" s="98">
        <v>14</v>
      </c>
      <c r="BB483" s="98">
        <v>30.4</v>
      </c>
      <c r="BC483" s="98">
        <v>3.2</v>
      </c>
      <c r="BD483" s="98">
        <v>293</v>
      </c>
      <c r="BE483" s="98">
        <v>30</v>
      </c>
      <c r="BF483" s="98">
        <v>62.2</v>
      </c>
      <c r="BG483" s="98">
        <v>6.7</v>
      </c>
      <c r="BI483" s="93">
        <v>7.6</v>
      </c>
      <c r="BJ483" s="98">
        <v>3.3</v>
      </c>
      <c r="BK483" s="98">
        <v>467000</v>
      </c>
      <c r="BL483" s="98">
        <v>42000</v>
      </c>
      <c r="BM483" s="98">
        <v>8280</v>
      </c>
      <c r="BN483" s="98">
        <v>770</v>
      </c>
      <c r="BO483" s="99">
        <v>0.75</v>
      </c>
      <c r="BP483" s="98">
        <v>0.11</v>
      </c>
      <c r="BQ483" s="99">
        <v>0.39900000000000002</v>
      </c>
      <c r="BR483" s="98">
        <v>3.7999999999999999E-2</v>
      </c>
      <c r="CD483" s="3"/>
      <c r="CE483" s="3"/>
      <c r="CF483" s="3"/>
    </row>
    <row r="484" spans="1:84" s="98" customFormat="1">
      <c r="A484" s="3" t="s">
        <v>630</v>
      </c>
      <c r="B484" s="92" t="s">
        <v>244</v>
      </c>
      <c r="C484" s="3"/>
      <c r="D484" s="93">
        <v>11.073</v>
      </c>
      <c r="E484" s="94">
        <v>0.29944999999999999</v>
      </c>
      <c r="F484" s="94">
        <v>9.2000000000000003E-4</v>
      </c>
      <c r="G484" s="95">
        <v>30.03</v>
      </c>
      <c r="H484" s="96">
        <v>0.88</v>
      </c>
      <c r="I484" s="97">
        <v>0.72929999999999995</v>
      </c>
      <c r="J484" s="95">
        <v>0.02</v>
      </c>
      <c r="K484" s="96">
        <v>0.83953999999999995</v>
      </c>
      <c r="M484" s="99">
        <v>3531</v>
      </c>
      <c r="N484" s="98">
        <v>74</v>
      </c>
      <c r="O484" s="99">
        <v>3466.4</v>
      </c>
      <c r="P484" s="98">
        <v>1.8</v>
      </c>
      <c r="Q484" s="98">
        <v>-1.85</v>
      </c>
      <c r="R484" s="97">
        <v>0</v>
      </c>
      <c r="T484" s="98">
        <v>270</v>
      </c>
      <c r="U484" s="98">
        <v>100</v>
      </c>
      <c r="V484" s="98">
        <v>0.5</v>
      </c>
      <c r="W484" s="98">
        <v>1.8</v>
      </c>
      <c r="X484" s="98">
        <v>0.17</v>
      </c>
      <c r="Y484" s="98">
        <v>0.19</v>
      </c>
      <c r="Z484" s="98">
        <v>2.0699999999999998</v>
      </c>
      <c r="AA484" s="98">
        <v>0.83</v>
      </c>
      <c r="AB484" s="98">
        <v>0.91</v>
      </c>
      <c r="AC484" s="98">
        <v>0.26</v>
      </c>
      <c r="AD484" s="98">
        <v>1090</v>
      </c>
      <c r="AE484" s="98">
        <v>130</v>
      </c>
      <c r="AF484" s="95">
        <v>8.5999999999999993E-2</v>
      </c>
      <c r="AG484" s="98">
        <v>5.5E-2</v>
      </c>
      <c r="AH484" s="96">
        <v>18.2</v>
      </c>
      <c r="AI484" s="96">
        <v>2.1</v>
      </c>
      <c r="AJ484" s="95">
        <v>7.5999999999999998E-2</v>
      </c>
      <c r="AK484" s="95">
        <v>3.5000000000000003E-2</v>
      </c>
      <c r="AL484" s="96">
        <v>2.11</v>
      </c>
      <c r="AM484" s="96">
        <v>0.7</v>
      </c>
      <c r="AN484" s="96">
        <v>4.0999999999999996</v>
      </c>
      <c r="AO484" s="96">
        <v>1.2</v>
      </c>
      <c r="AP484" s="96">
        <v>1.05</v>
      </c>
      <c r="AQ484" s="96">
        <v>0.22</v>
      </c>
      <c r="AR484" s="96">
        <v>17.7</v>
      </c>
      <c r="AS484" s="93">
        <v>3.7</v>
      </c>
      <c r="AT484" s="96">
        <v>6.39</v>
      </c>
      <c r="AU484" s="96">
        <v>0.71</v>
      </c>
      <c r="AV484" s="99">
        <v>86</v>
      </c>
      <c r="AW484" s="98">
        <v>10</v>
      </c>
      <c r="AX484" s="98">
        <v>34.799999999999997</v>
      </c>
      <c r="AY484" s="98">
        <v>3.3</v>
      </c>
      <c r="AZ484" s="98">
        <v>172</v>
      </c>
      <c r="BA484" s="98">
        <v>18</v>
      </c>
      <c r="BB484" s="98">
        <v>36.200000000000003</v>
      </c>
      <c r="BC484" s="98">
        <v>3.9</v>
      </c>
      <c r="BD484" s="98">
        <v>352</v>
      </c>
      <c r="BE484" s="98">
        <v>35</v>
      </c>
      <c r="BF484" s="98">
        <v>70.2</v>
      </c>
      <c r="BG484" s="98">
        <v>7</v>
      </c>
      <c r="BI484" s="93">
        <v>8.1</v>
      </c>
      <c r="BJ484" s="98">
        <v>2.6</v>
      </c>
      <c r="BK484" s="98">
        <v>512000</v>
      </c>
      <c r="BL484" s="98">
        <v>46000</v>
      </c>
      <c r="BM484" s="98">
        <v>7710</v>
      </c>
      <c r="BN484" s="98">
        <v>730</v>
      </c>
      <c r="BO484" s="99">
        <v>158</v>
      </c>
      <c r="BP484" s="98">
        <v>12</v>
      </c>
      <c r="BQ484" s="99">
        <v>211</v>
      </c>
      <c r="BR484" s="98">
        <v>16</v>
      </c>
      <c r="CD484" s="3"/>
      <c r="CE484" s="3"/>
      <c r="CF484" s="3"/>
    </row>
    <row r="485" spans="1:84" s="98" customFormat="1">
      <c r="A485" s="3" t="s">
        <v>631</v>
      </c>
      <c r="B485" s="92" t="s">
        <v>244</v>
      </c>
      <c r="C485" s="3"/>
      <c r="D485" s="93">
        <v>11.034000000000001</v>
      </c>
      <c r="E485" s="94">
        <v>0.29935</v>
      </c>
      <c r="F485" s="94">
        <v>9.3000000000000005E-4</v>
      </c>
      <c r="G485" s="95">
        <v>29.16</v>
      </c>
      <c r="H485" s="96">
        <v>0.86</v>
      </c>
      <c r="I485" s="97">
        <v>0.70779999999999998</v>
      </c>
      <c r="J485" s="95">
        <v>1.9E-2</v>
      </c>
      <c r="K485" s="96">
        <v>0.93764000000000003</v>
      </c>
      <c r="M485" s="99">
        <v>3450</v>
      </c>
      <c r="N485" s="98">
        <v>73</v>
      </c>
      <c r="O485" s="99">
        <v>3466.6</v>
      </c>
      <c r="P485" s="98">
        <v>2.2000000000000002</v>
      </c>
      <c r="Q485" s="98">
        <v>0.48</v>
      </c>
      <c r="R485" s="97">
        <v>6.4000000000000003E-3</v>
      </c>
      <c r="T485" s="98">
        <v>202</v>
      </c>
      <c r="U485" s="98">
        <v>85</v>
      </c>
      <c r="V485" s="98" t="s">
        <v>250</v>
      </c>
      <c r="W485" s="98" t="s">
        <v>250</v>
      </c>
      <c r="X485" s="98">
        <v>0.12</v>
      </c>
      <c r="Y485" s="98">
        <v>0.13</v>
      </c>
      <c r="Z485" s="98">
        <v>1.5</v>
      </c>
      <c r="AA485" s="98">
        <v>0.57999999999999996</v>
      </c>
      <c r="AB485" s="98">
        <v>0.64</v>
      </c>
      <c r="AC485" s="98">
        <v>0.22</v>
      </c>
      <c r="AD485" s="98">
        <v>621</v>
      </c>
      <c r="AE485" s="98">
        <v>84</v>
      </c>
      <c r="AF485" s="95">
        <v>0.10100000000000001</v>
      </c>
      <c r="AG485" s="98">
        <v>5.0999999999999997E-2</v>
      </c>
      <c r="AH485" s="96">
        <v>12.8</v>
      </c>
      <c r="AI485" s="96">
        <v>2</v>
      </c>
      <c r="AJ485" s="95">
        <v>0.14199999999999999</v>
      </c>
      <c r="AK485" s="95">
        <v>4.8000000000000001E-2</v>
      </c>
      <c r="AL485" s="96">
        <v>1.52</v>
      </c>
      <c r="AM485" s="96">
        <v>0.71</v>
      </c>
      <c r="AN485" s="96">
        <v>1.3</v>
      </c>
      <c r="AO485" s="96">
        <v>0.48</v>
      </c>
      <c r="AP485" s="96">
        <v>0.65</v>
      </c>
      <c r="AQ485" s="96">
        <v>0.22</v>
      </c>
      <c r="AR485" s="96">
        <v>9.1999999999999993</v>
      </c>
      <c r="AS485" s="93">
        <v>2.4</v>
      </c>
      <c r="AT485" s="96">
        <v>3.21</v>
      </c>
      <c r="AU485" s="96">
        <v>0.61</v>
      </c>
      <c r="AV485" s="99">
        <v>43</v>
      </c>
      <c r="AW485" s="98">
        <v>6.3</v>
      </c>
      <c r="AX485" s="98">
        <v>17.899999999999999</v>
      </c>
      <c r="AY485" s="98">
        <v>2</v>
      </c>
      <c r="AZ485" s="98">
        <v>109</v>
      </c>
      <c r="BA485" s="98">
        <v>14</v>
      </c>
      <c r="BB485" s="98">
        <v>25</v>
      </c>
      <c r="BC485" s="98">
        <v>2.6</v>
      </c>
      <c r="BD485" s="98">
        <v>258</v>
      </c>
      <c r="BE485" s="98">
        <v>29</v>
      </c>
      <c r="BF485" s="98">
        <v>60.8</v>
      </c>
      <c r="BG485" s="98">
        <v>8.1</v>
      </c>
      <c r="BI485" s="93">
        <v>5.6</v>
      </c>
      <c r="BJ485" s="98">
        <v>2.2000000000000002</v>
      </c>
      <c r="BK485" s="98">
        <v>517000</v>
      </c>
      <c r="BL485" s="98">
        <v>60000</v>
      </c>
      <c r="BM485" s="98">
        <v>9500</v>
      </c>
      <c r="BN485" s="98">
        <v>1300</v>
      </c>
      <c r="BO485" s="99">
        <v>93.4</v>
      </c>
      <c r="BP485" s="98">
        <v>9.8000000000000007</v>
      </c>
      <c r="BQ485" s="99">
        <v>170</v>
      </c>
      <c r="BR485" s="98">
        <v>18</v>
      </c>
      <c r="CD485" s="3"/>
      <c r="CE485" s="3"/>
      <c r="CF485" s="3"/>
    </row>
    <row r="486" spans="1:84" s="98" customFormat="1">
      <c r="A486" s="3" t="s">
        <v>632</v>
      </c>
      <c r="B486" s="92" t="s">
        <v>244</v>
      </c>
      <c r="C486" s="3"/>
      <c r="D486" s="93">
        <v>11.036</v>
      </c>
      <c r="E486" s="94">
        <v>0.29949999999999999</v>
      </c>
      <c r="F486" s="94">
        <v>1.1000000000000001E-3</v>
      </c>
      <c r="G486" s="95">
        <v>29.2</v>
      </c>
      <c r="H486" s="96">
        <v>0.88</v>
      </c>
      <c r="I486" s="97">
        <v>0.70620000000000005</v>
      </c>
      <c r="J486" s="95">
        <v>1.9E-2</v>
      </c>
      <c r="K486" s="96">
        <v>0.79435</v>
      </c>
      <c r="M486" s="99">
        <v>3444.2</v>
      </c>
      <c r="N486" s="98">
        <v>72</v>
      </c>
      <c r="O486" s="99">
        <v>3468.4</v>
      </c>
      <c r="P486" s="98">
        <v>6</v>
      </c>
      <c r="Q486" s="98">
        <v>0.82</v>
      </c>
      <c r="R486" s="97">
        <v>5.4000000000000003E-3</v>
      </c>
      <c r="T486" s="98">
        <v>230</v>
      </c>
      <c r="U486" s="98">
        <v>120</v>
      </c>
      <c r="V486" s="98" t="s">
        <v>250</v>
      </c>
      <c r="W486" s="98" t="s">
        <v>250</v>
      </c>
      <c r="X486" s="98">
        <v>0.13</v>
      </c>
      <c r="Y486" s="98">
        <v>0.14000000000000001</v>
      </c>
      <c r="Z486" s="98">
        <v>1.76</v>
      </c>
      <c r="AA486" s="98">
        <v>0.59</v>
      </c>
      <c r="AB486" s="98">
        <v>0.14000000000000001</v>
      </c>
      <c r="AC486" s="98">
        <v>0.11</v>
      </c>
      <c r="AD486" s="98">
        <v>990</v>
      </c>
      <c r="AE486" s="98">
        <v>120</v>
      </c>
      <c r="AF486" s="95">
        <v>0.15</v>
      </c>
      <c r="AG486" s="98">
        <v>0.1</v>
      </c>
      <c r="AH486" s="96">
        <v>12.7</v>
      </c>
      <c r="AI486" s="96">
        <v>1.8</v>
      </c>
      <c r="AJ486" s="95">
        <v>0.26</v>
      </c>
      <c r="AK486" s="95">
        <v>0.14000000000000001</v>
      </c>
      <c r="AL486" s="96">
        <v>2.02</v>
      </c>
      <c r="AM486" s="96">
        <v>0.5</v>
      </c>
      <c r="AN486" s="96">
        <v>4.3</v>
      </c>
      <c r="AO486" s="96">
        <v>1.7</v>
      </c>
      <c r="AP486" s="96">
        <v>0.96</v>
      </c>
      <c r="AQ486" s="96">
        <v>0.24</v>
      </c>
      <c r="AR486" s="96">
        <v>21.8</v>
      </c>
      <c r="AS486" s="93">
        <v>3.5</v>
      </c>
      <c r="AT486" s="96">
        <v>7</v>
      </c>
      <c r="AU486" s="96">
        <v>1.1000000000000001</v>
      </c>
      <c r="AV486" s="99">
        <v>75.8</v>
      </c>
      <c r="AW486" s="98">
        <v>5.7</v>
      </c>
      <c r="AX486" s="98">
        <v>31.1</v>
      </c>
      <c r="AY486" s="98">
        <v>4.0999999999999996</v>
      </c>
      <c r="AZ486" s="98">
        <v>159</v>
      </c>
      <c r="BA486" s="98">
        <v>18</v>
      </c>
      <c r="BB486" s="98">
        <v>32</v>
      </c>
      <c r="BC486" s="98">
        <v>3.8</v>
      </c>
      <c r="BD486" s="98">
        <v>323</v>
      </c>
      <c r="BE486" s="98">
        <v>41</v>
      </c>
      <c r="BF486" s="98">
        <v>65.3</v>
      </c>
      <c r="BG486" s="98">
        <v>6.1</v>
      </c>
      <c r="BI486" s="93">
        <v>10.6</v>
      </c>
      <c r="BJ486" s="98">
        <v>2.5</v>
      </c>
      <c r="BK486" s="98">
        <v>502000</v>
      </c>
      <c r="BL486" s="98">
        <v>54000</v>
      </c>
      <c r="BM486" s="98">
        <v>8140</v>
      </c>
      <c r="BN486" s="98">
        <v>740</v>
      </c>
      <c r="BO486" s="99">
        <v>105</v>
      </c>
      <c r="BP486" s="98">
        <v>10</v>
      </c>
      <c r="BQ486" s="99">
        <v>136</v>
      </c>
      <c r="BR486" s="98">
        <v>12</v>
      </c>
      <c r="CD486" s="3"/>
      <c r="CE486" s="3"/>
      <c r="CF486" s="3"/>
    </row>
    <row r="487" spans="1:84" s="98" customFormat="1">
      <c r="A487" s="3" t="s">
        <v>633</v>
      </c>
      <c r="B487" s="92" t="s">
        <v>244</v>
      </c>
      <c r="C487" s="3"/>
      <c r="D487" s="93">
        <v>11.042</v>
      </c>
      <c r="E487" s="94">
        <v>0.29916999999999999</v>
      </c>
      <c r="F487" s="94">
        <v>1E-3</v>
      </c>
      <c r="G487" s="95">
        <v>28.77</v>
      </c>
      <c r="H487" s="96">
        <v>0.84</v>
      </c>
      <c r="I487" s="97">
        <v>0.6996</v>
      </c>
      <c r="J487" s="95">
        <v>1.9E-2</v>
      </c>
      <c r="K487" s="96">
        <v>0.72914000000000001</v>
      </c>
      <c r="M487" s="99">
        <v>3419.1</v>
      </c>
      <c r="N487" s="98">
        <v>71</v>
      </c>
      <c r="O487" s="99">
        <v>3466.4</v>
      </c>
      <c r="P487" s="98">
        <v>2.2999999999999998</v>
      </c>
      <c r="Q487" s="98">
        <v>1.36</v>
      </c>
      <c r="R487" s="97">
        <v>9.5999999999999992E-3</v>
      </c>
      <c r="T487" s="98">
        <v>90</v>
      </c>
      <c r="U487" s="98">
        <v>100</v>
      </c>
      <c r="V487" s="98">
        <v>0.43</v>
      </c>
      <c r="W487" s="98">
        <v>0.99</v>
      </c>
      <c r="X487" s="98">
        <v>0.36</v>
      </c>
      <c r="Y487" s="98">
        <v>0.19</v>
      </c>
      <c r="Z487" s="98">
        <v>1.1399999999999999</v>
      </c>
      <c r="AA487" s="98">
        <v>0.57999999999999996</v>
      </c>
      <c r="AB487" s="98">
        <v>0.15</v>
      </c>
      <c r="AC487" s="98">
        <v>0.12</v>
      </c>
      <c r="AD487" s="98">
        <v>1040</v>
      </c>
      <c r="AE487" s="98">
        <v>120</v>
      </c>
      <c r="AF487" s="95">
        <v>6.2E-2</v>
      </c>
      <c r="AG487" s="98">
        <v>3.7999999999999999E-2</v>
      </c>
      <c r="AH487" s="96">
        <v>11.7</v>
      </c>
      <c r="AI487" s="96">
        <v>1.8</v>
      </c>
      <c r="AJ487" s="95">
        <v>0.22700000000000001</v>
      </c>
      <c r="AK487" s="95">
        <v>6.8000000000000005E-2</v>
      </c>
      <c r="AL487" s="96">
        <v>4</v>
      </c>
      <c r="AM487" s="96">
        <v>1.1000000000000001</v>
      </c>
      <c r="AN487" s="96">
        <v>5.4</v>
      </c>
      <c r="AO487" s="96">
        <v>1.5</v>
      </c>
      <c r="AP487" s="96">
        <v>1.64</v>
      </c>
      <c r="AQ487" s="96">
        <v>0.39</v>
      </c>
      <c r="AR487" s="96">
        <v>24.3</v>
      </c>
      <c r="AS487" s="93">
        <v>3.6</v>
      </c>
      <c r="AT487" s="96">
        <v>7.17</v>
      </c>
      <c r="AU487" s="96">
        <v>0.76</v>
      </c>
      <c r="AV487" s="99">
        <v>88.4</v>
      </c>
      <c r="AW487" s="98">
        <v>8</v>
      </c>
      <c r="AX487" s="98">
        <v>31.8</v>
      </c>
      <c r="AY487" s="98">
        <v>3</v>
      </c>
      <c r="AZ487" s="98">
        <v>161</v>
      </c>
      <c r="BA487" s="98">
        <v>13</v>
      </c>
      <c r="BB487" s="98">
        <v>35.6</v>
      </c>
      <c r="BC487" s="98">
        <v>3.1</v>
      </c>
      <c r="BD487" s="98">
        <v>302</v>
      </c>
      <c r="BE487" s="98">
        <v>18</v>
      </c>
      <c r="BF487" s="98">
        <v>66</v>
      </c>
      <c r="BG487" s="98">
        <v>5.6</v>
      </c>
      <c r="BI487" s="93">
        <v>7.2</v>
      </c>
      <c r="BJ487" s="98">
        <v>2.2000000000000002</v>
      </c>
      <c r="BK487" s="98">
        <v>527000</v>
      </c>
      <c r="BL487" s="98">
        <v>47000</v>
      </c>
      <c r="BM487" s="98">
        <v>8410</v>
      </c>
      <c r="BN487" s="98">
        <v>760</v>
      </c>
      <c r="BO487" s="99">
        <v>122</v>
      </c>
      <c r="BP487" s="98">
        <v>8.1999999999999993</v>
      </c>
      <c r="BQ487" s="99">
        <v>135.6</v>
      </c>
      <c r="BR487" s="98">
        <v>9.1</v>
      </c>
      <c r="CD487" s="3"/>
      <c r="CE487" s="3"/>
      <c r="CF487" s="3"/>
    </row>
    <row r="488" spans="1:84" s="98" customFormat="1">
      <c r="A488" s="3" t="s">
        <v>634</v>
      </c>
      <c r="B488" s="92" t="s">
        <v>244</v>
      </c>
      <c r="C488" s="3"/>
      <c r="D488" s="93">
        <v>11.004</v>
      </c>
      <c r="E488" s="94">
        <v>0.29842999999999997</v>
      </c>
      <c r="F488" s="94">
        <v>1E-3</v>
      </c>
      <c r="G488" s="95">
        <v>28.6</v>
      </c>
      <c r="H488" s="96">
        <v>0.83</v>
      </c>
      <c r="I488" s="97">
        <v>0.69650000000000001</v>
      </c>
      <c r="J488" s="95">
        <v>1.9E-2</v>
      </c>
      <c r="K488" s="96">
        <v>0.75629000000000002</v>
      </c>
      <c r="M488" s="99">
        <v>3407.4</v>
      </c>
      <c r="N488" s="98">
        <v>71</v>
      </c>
      <c r="O488" s="99">
        <v>3462.1</v>
      </c>
      <c r="P488" s="98">
        <v>1.8</v>
      </c>
      <c r="Q488" s="98">
        <v>1.58</v>
      </c>
      <c r="R488" s="97">
        <v>1.12E-2</v>
      </c>
      <c r="T488" s="98">
        <v>190</v>
      </c>
      <c r="U488" s="98">
        <v>140</v>
      </c>
      <c r="V488" s="98" t="s">
        <v>250</v>
      </c>
      <c r="W488" s="98" t="s">
        <v>250</v>
      </c>
      <c r="X488" s="98">
        <v>4.4999999999999998E-2</v>
      </c>
      <c r="Y488" s="98">
        <v>9.2999999999999999E-2</v>
      </c>
      <c r="Z488" s="98">
        <v>1.07</v>
      </c>
      <c r="AA488" s="98">
        <v>0.38</v>
      </c>
      <c r="AB488" s="98">
        <v>0.45</v>
      </c>
      <c r="AC488" s="98">
        <v>0.28999999999999998</v>
      </c>
      <c r="AD488" s="98">
        <v>748</v>
      </c>
      <c r="AE488" s="98">
        <v>73</v>
      </c>
      <c r="AF488" s="95">
        <v>8.1000000000000003E-2</v>
      </c>
      <c r="AG488" s="98">
        <v>4.7E-2</v>
      </c>
      <c r="AH488" s="96">
        <v>10.4</v>
      </c>
      <c r="AI488" s="96">
        <v>2</v>
      </c>
      <c r="AJ488" s="95">
        <v>0.17199999999999999</v>
      </c>
      <c r="AK488" s="95">
        <v>0.05</v>
      </c>
      <c r="AL488" s="96">
        <v>3.43</v>
      </c>
      <c r="AM488" s="96">
        <v>0.95</v>
      </c>
      <c r="AN488" s="96">
        <v>3.5</v>
      </c>
      <c r="AO488" s="96">
        <v>1.1000000000000001</v>
      </c>
      <c r="AP488" s="96">
        <v>0.8</v>
      </c>
      <c r="AQ488" s="96">
        <v>0.23</v>
      </c>
      <c r="AR488" s="96">
        <v>15.9</v>
      </c>
      <c r="AS488" s="93">
        <v>2.9</v>
      </c>
      <c r="AT488" s="96">
        <v>4.2</v>
      </c>
      <c r="AU488" s="96">
        <v>0.61</v>
      </c>
      <c r="AV488" s="99">
        <v>64.3</v>
      </c>
      <c r="AW488" s="98">
        <v>6.6</v>
      </c>
      <c r="AX488" s="98">
        <v>24.4</v>
      </c>
      <c r="AY488" s="98">
        <v>2.8</v>
      </c>
      <c r="AZ488" s="98">
        <v>132</v>
      </c>
      <c r="BA488" s="98">
        <v>16</v>
      </c>
      <c r="BB488" s="98">
        <v>29.1</v>
      </c>
      <c r="BC488" s="98">
        <v>3.1</v>
      </c>
      <c r="BD488" s="98">
        <v>289</v>
      </c>
      <c r="BE488" s="98">
        <v>33</v>
      </c>
      <c r="BF488" s="98">
        <v>64</v>
      </c>
      <c r="BG488" s="98">
        <v>7.1</v>
      </c>
      <c r="BI488" s="93">
        <v>7.6</v>
      </c>
      <c r="BJ488" s="98">
        <v>2.7</v>
      </c>
      <c r="BK488" s="98">
        <v>514000</v>
      </c>
      <c r="BL488" s="98">
        <v>63000</v>
      </c>
      <c r="BM488" s="98">
        <v>8560</v>
      </c>
      <c r="BN488" s="98">
        <v>990</v>
      </c>
      <c r="BO488" s="99">
        <v>99.5</v>
      </c>
      <c r="BP488" s="98">
        <v>9.9</v>
      </c>
      <c r="BQ488" s="99">
        <v>143</v>
      </c>
      <c r="BR488" s="98">
        <v>15</v>
      </c>
      <c r="CD488" s="3"/>
      <c r="CE488" s="3"/>
      <c r="CF488" s="3"/>
    </row>
    <row r="489" spans="1:84" s="98" customFormat="1">
      <c r="A489" s="3" t="s">
        <v>635</v>
      </c>
      <c r="B489" s="92" t="s">
        <v>244</v>
      </c>
      <c r="C489" s="3"/>
      <c r="D489" s="93">
        <v>11.304</v>
      </c>
      <c r="E489" s="94">
        <v>0.29920000000000002</v>
      </c>
      <c r="F489" s="94">
        <v>1.2999999999999999E-3</v>
      </c>
      <c r="G489" s="95">
        <v>29.05</v>
      </c>
      <c r="H489" s="96">
        <v>0.85</v>
      </c>
      <c r="I489" s="97">
        <v>0.70520000000000005</v>
      </c>
      <c r="J489" s="95">
        <v>1.9E-2</v>
      </c>
      <c r="K489" s="96">
        <v>0.47003</v>
      </c>
      <c r="M489" s="99">
        <v>3440.2</v>
      </c>
      <c r="N489" s="98">
        <v>72</v>
      </c>
      <c r="O489" s="99">
        <v>3466.4</v>
      </c>
      <c r="P489" s="98">
        <v>2.5</v>
      </c>
      <c r="Q489" s="98">
        <v>0.76</v>
      </c>
      <c r="R489" s="97">
        <v>5.4000000000000003E-3</v>
      </c>
      <c r="T489" s="98">
        <v>220</v>
      </c>
      <c r="U489" s="98">
        <v>110</v>
      </c>
      <c r="V489" s="98" t="s">
        <v>250</v>
      </c>
      <c r="W489" s="98" t="s">
        <v>250</v>
      </c>
      <c r="X489" s="98">
        <v>3.6999999999999998E-2</v>
      </c>
      <c r="Y489" s="98">
        <v>7.6999999999999999E-2</v>
      </c>
      <c r="Z489" s="98">
        <v>1.49</v>
      </c>
      <c r="AA489" s="98">
        <v>0.42</v>
      </c>
      <c r="AB489" s="98">
        <v>0.56999999999999995</v>
      </c>
      <c r="AC489" s="98">
        <v>0.26</v>
      </c>
      <c r="AD489" s="98">
        <v>585</v>
      </c>
      <c r="AE489" s="98">
        <v>55</v>
      </c>
      <c r="AF489" s="95">
        <v>4.4999999999999998E-2</v>
      </c>
      <c r="AG489" s="98">
        <v>2.9000000000000001E-2</v>
      </c>
      <c r="AH489" s="96">
        <v>11.2</v>
      </c>
      <c r="AI489" s="96">
        <v>1.8</v>
      </c>
      <c r="AJ489" s="95">
        <v>7.2999999999999995E-2</v>
      </c>
      <c r="AK489" s="95">
        <v>5.0999999999999997E-2</v>
      </c>
      <c r="AL489" s="96">
        <v>0.56999999999999995</v>
      </c>
      <c r="AM489" s="96">
        <v>0.34</v>
      </c>
      <c r="AN489" s="96">
        <v>2.6</v>
      </c>
      <c r="AO489" s="96">
        <v>1</v>
      </c>
      <c r="AP489" s="96">
        <v>0.55000000000000004</v>
      </c>
      <c r="AQ489" s="96">
        <v>0.21</v>
      </c>
      <c r="AR489" s="96">
        <v>10.4</v>
      </c>
      <c r="AS489" s="93">
        <v>2.5</v>
      </c>
      <c r="AT489" s="96">
        <v>3.55</v>
      </c>
      <c r="AU489" s="96">
        <v>0.61</v>
      </c>
      <c r="AV489" s="99">
        <v>51.5</v>
      </c>
      <c r="AW489" s="98">
        <v>6.9</v>
      </c>
      <c r="AX489" s="98">
        <v>17.7</v>
      </c>
      <c r="AY489" s="98">
        <v>1.8</v>
      </c>
      <c r="AZ489" s="98">
        <v>96</v>
      </c>
      <c r="BA489" s="98">
        <v>13</v>
      </c>
      <c r="BB489" s="98">
        <v>21.4</v>
      </c>
      <c r="BC489" s="98">
        <v>2.7</v>
      </c>
      <c r="BD489" s="98">
        <v>191</v>
      </c>
      <c r="BE489" s="98">
        <v>17</v>
      </c>
      <c r="BF489" s="98">
        <v>43.3</v>
      </c>
      <c r="BG489" s="98">
        <v>4.5</v>
      </c>
      <c r="BI489" s="93">
        <v>8.1</v>
      </c>
      <c r="BJ489" s="98">
        <v>3.6</v>
      </c>
      <c r="BK489" s="98">
        <v>484000</v>
      </c>
      <c r="BL489" s="98">
        <v>35000</v>
      </c>
      <c r="BM489" s="98">
        <v>8270</v>
      </c>
      <c r="BN489" s="98">
        <v>770</v>
      </c>
      <c r="BO489" s="99">
        <v>58.7</v>
      </c>
      <c r="BP489" s="98">
        <v>5.5</v>
      </c>
      <c r="BQ489" s="99">
        <v>96.1</v>
      </c>
      <c r="BR489" s="98">
        <v>9.5</v>
      </c>
      <c r="CD489" s="3"/>
      <c r="CE489" s="3"/>
      <c r="CF489" s="3"/>
    </row>
    <row r="490" spans="1:84" s="98" customFormat="1">
      <c r="A490" s="3" t="s">
        <v>636</v>
      </c>
      <c r="B490" s="92" t="s">
        <v>244</v>
      </c>
      <c r="C490" s="3"/>
      <c r="D490" s="93">
        <v>11.064</v>
      </c>
      <c r="E490" s="94">
        <v>0.29859000000000002</v>
      </c>
      <c r="F490" s="94">
        <v>1E-3</v>
      </c>
      <c r="G490" s="95">
        <v>29.454999999999998</v>
      </c>
      <c r="H490" s="96">
        <v>0.86</v>
      </c>
      <c r="I490" s="97">
        <v>0.71740000000000004</v>
      </c>
      <c r="J490" s="95">
        <v>1.9E-2</v>
      </c>
      <c r="K490" s="96">
        <v>0.45495000000000002</v>
      </c>
      <c r="M490" s="99">
        <v>3486.3</v>
      </c>
      <c r="N490" s="98">
        <v>72</v>
      </c>
      <c r="O490" s="99">
        <v>3464</v>
      </c>
      <c r="P490" s="98">
        <v>2</v>
      </c>
      <c r="Q490" s="98">
        <v>-0.6</v>
      </c>
      <c r="R490" s="97">
        <v>-1.0000000000000001E-5</v>
      </c>
      <c r="T490" s="98">
        <v>270</v>
      </c>
      <c r="U490" s="98">
        <v>130</v>
      </c>
      <c r="V490" s="98">
        <v>0.5</v>
      </c>
      <c r="W490" s="98">
        <v>1.3</v>
      </c>
      <c r="X490" s="98">
        <v>0.23</v>
      </c>
      <c r="Y490" s="98">
        <v>0.19</v>
      </c>
      <c r="Z490" s="98">
        <v>1.23</v>
      </c>
      <c r="AA490" s="98">
        <v>0.55000000000000004</v>
      </c>
      <c r="AB490" s="98">
        <v>0.48</v>
      </c>
      <c r="AC490" s="98">
        <v>0.27</v>
      </c>
      <c r="AD490" s="98">
        <v>1145</v>
      </c>
      <c r="AE490" s="98">
        <v>79</v>
      </c>
      <c r="AF490" s="95">
        <v>0.159</v>
      </c>
      <c r="AG490" s="98">
        <v>0.06</v>
      </c>
      <c r="AH490" s="96">
        <v>12.4</v>
      </c>
      <c r="AI490" s="96">
        <v>1.3</v>
      </c>
      <c r="AJ490" s="95">
        <v>0.32</v>
      </c>
      <c r="AK490" s="95">
        <v>7.5999999999999998E-2</v>
      </c>
      <c r="AL490" s="96">
        <v>4.2</v>
      </c>
      <c r="AM490" s="96">
        <v>1.3</v>
      </c>
      <c r="AN490" s="96">
        <v>6.8</v>
      </c>
      <c r="AO490" s="96">
        <v>1.1000000000000001</v>
      </c>
      <c r="AP490" s="96">
        <v>1.9</v>
      </c>
      <c r="AQ490" s="96">
        <v>0.51</v>
      </c>
      <c r="AR490" s="96">
        <v>26.6</v>
      </c>
      <c r="AS490" s="93">
        <v>4</v>
      </c>
      <c r="AT490" s="96">
        <v>8.27</v>
      </c>
      <c r="AU490" s="96">
        <v>0.76</v>
      </c>
      <c r="AV490" s="99">
        <v>105.5</v>
      </c>
      <c r="AW490" s="98">
        <v>8</v>
      </c>
      <c r="AX490" s="98">
        <v>37.299999999999997</v>
      </c>
      <c r="AY490" s="98">
        <v>2.8</v>
      </c>
      <c r="AZ490" s="98">
        <v>192</v>
      </c>
      <c r="BA490" s="98">
        <v>14</v>
      </c>
      <c r="BB490" s="98">
        <v>40.1</v>
      </c>
      <c r="BC490" s="98">
        <v>2.9</v>
      </c>
      <c r="BD490" s="98">
        <v>350</v>
      </c>
      <c r="BE490" s="98">
        <v>20</v>
      </c>
      <c r="BF490" s="98">
        <v>73.8</v>
      </c>
      <c r="BG490" s="98">
        <v>4.2</v>
      </c>
      <c r="BI490" s="93">
        <v>11.2</v>
      </c>
      <c r="BJ490" s="98">
        <v>2.5</v>
      </c>
      <c r="BK490" s="98">
        <v>530000</v>
      </c>
      <c r="BL490" s="98">
        <v>36000</v>
      </c>
      <c r="BM490" s="98">
        <v>8640</v>
      </c>
      <c r="BN490" s="98">
        <v>580</v>
      </c>
      <c r="BO490" s="99">
        <v>137.6</v>
      </c>
      <c r="BP490" s="98">
        <v>7</v>
      </c>
      <c r="BQ490" s="99">
        <v>157.5</v>
      </c>
      <c r="BR490" s="98">
        <v>7.4</v>
      </c>
      <c r="CD490" s="3"/>
      <c r="CE490" s="3"/>
      <c r="CF490" s="3"/>
    </row>
    <row r="491" spans="1:84" s="98" customFormat="1">
      <c r="A491" s="3" t="s">
        <v>637</v>
      </c>
      <c r="B491" s="92" t="s">
        <v>244</v>
      </c>
      <c r="C491" s="3"/>
      <c r="D491" s="93">
        <v>11.14</v>
      </c>
      <c r="E491" s="94">
        <v>0.29897000000000001</v>
      </c>
      <c r="F491" s="94">
        <v>1.1000000000000001E-3</v>
      </c>
      <c r="G491" s="95">
        <v>28.86</v>
      </c>
      <c r="H491" s="96">
        <v>0.84</v>
      </c>
      <c r="I491" s="97">
        <v>0.70209999999999995</v>
      </c>
      <c r="J491" s="95">
        <v>1.9E-2</v>
      </c>
      <c r="K491" s="96">
        <v>0.56096999999999997</v>
      </c>
      <c r="M491" s="99">
        <v>3428.7</v>
      </c>
      <c r="N491" s="98">
        <v>71</v>
      </c>
      <c r="O491" s="99">
        <v>3464.8</v>
      </c>
      <c r="P491" s="98">
        <v>2.1</v>
      </c>
      <c r="Q491" s="98">
        <v>1.03</v>
      </c>
      <c r="R491" s="97">
        <v>7.3000000000000001E-3</v>
      </c>
      <c r="T491" s="98">
        <v>180</v>
      </c>
      <c r="U491" s="98">
        <v>130</v>
      </c>
      <c r="V491" s="98" t="s">
        <v>250</v>
      </c>
      <c r="W491" s="98" t="s">
        <v>250</v>
      </c>
      <c r="X491" s="98">
        <v>0.18</v>
      </c>
      <c r="Y491" s="98">
        <v>0.15</v>
      </c>
      <c r="Z491" s="98">
        <v>1.44</v>
      </c>
      <c r="AA491" s="98">
        <v>0.46</v>
      </c>
      <c r="AB491" s="98">
        <v>0.18</v>
      </c>
      <c r="AC491" s="98">
        <v>0.18</v>
      </c>
      <c r="AD491" s="98">
        <v>910</v>
      </c>
      <c r="AE491" s="98">
        <v>100</v>
      </c>
      <c r="AF491" s="95">
        <v>4.8000000000000001E-2</v>
      </c>
      <c r="AG491" s="98">
        <v>3.9E-2</v>
      </c>
      <c r="AH491" s="96">
        <v>9.6</v>
      </c>
      <c r="AI491" s="96">
        <v>1.4</v>
      </c>
      <c r="AJ491" s="95">
        <v>0.17100000000000001</v>
      </c>
      <c r="AK491" s="95">
        <v>4.1000000000000002E-2</v>
      </c>
      <c r="AL491" s="96">
        <v>2.42</v>
      </c>
      <c r="AM491" s="96">
        <v>0.64</v>
      </c>
      <c r="AN491" s="96">
        <v>5.8</v>
      </c>
      <c r="AO491" s="96">
        <v>1.6</v>
      </c>
      <c r="AP491" s="96">
        <v>1.49</v>
      </c>
      <c r="AQ491" s="96">
        <v>0.42</v>
      </c>
      <c r="AR491" s="96">
        <v>20.399999999999999</v>
      </c>
      <c r="AS491" s="93">
        <v>2.6</v>
      </c>
      <c r="AT491" s="96">
        <v>6.5</v>
      </c>
      <c r="AU491" s="96">
        <v>1.2</v>
      </c>
      <c r="AV491" s="99">
        <v>76</v>
      </c>
      <c r="AW491" s="98">
        <v>9.1</v>
      </c>
      <c r="AX491" s="98">
        <v>28.5</v>
      </c>
      <c r="AY491" s="98">
        <v>2.7</v>
      </c>
      <c r="AZ491" s="98">
        <v>144</v>
      </c>
      <c r="BA491" s="98">
        <v>18</v>
      </c>
      <c r="BB491" s="98">
        <v>27.7</v>
      </c>
      <c r="BC491" s="98">
        <v>2.8</v>
      </c>
      <c r="BD491" s="98">
        <v>270</v>
      </c>
      <c r="BE491" s="98">
        <v>24</v>
      </c>
      <c r="BF491" s="98">
        <v>57.9</v>
      </c>
      <c r="BG491" s="98">
        <v>7.4</v>
      </c>
      <c r="BI491" s="93">
        <v>5.9</v>
      </c>
      <c r="BJ491" s="98">
        <v>2.5</v>
      </c>
      <c r="BK491" s="98">
        <v>521000</v>
      </c>
      <c r="BL491" s="98">
        <v>72000</v>
      </c>
      <c r="BM491" s="98">
        <v>9200</v>
      </c>
      <c r="BN491" s="98">
        <v>1100</v>
      </c>
      <c r="BO491" s="99">
        <v>108</v>
      </c>
      <c r="BP491" s="98">
        <v>11</v>
      </c>
      <c r="BQ491" s="99">
        <v>118</v>
      </c>
      <c r="BR491" s="98">
        <v>12</v>
      </c>
      <c r="CD491" s="3"/>
      <c r="CE491" s="3"/>
      <c r="CF491" s="3"/>
    </row>
    <row r="492" spans="1:84" s="98" customFormat="1">
      <c r="A492" s="3" t="s">
        <v>638</v>
      </c>
      <c r="B492" s="92" t="s">
        <v>244</v>
      </c>
      <c r="C492" s="3"/>
      <c r="D492" s="93">
        <v>11.004</v>
      </c>
      <c r="E492" s="94">
        <v>0.29998000000000002</v>
      </c>
      <c r="F492" s="94">
        <v>9.3999999999999997E-4</v>
      </c>
      <c r="G492" s="95">
        <v>28.843</v>
      </c>
      <c r="H492" s="96">
        <v>0.84</v>
      </c>
      <c r="I492" s="97">
        <v>0.6996</v>
      </c>
      <c r="J492" s="95">
        <v>1.9E-2</v>
      </c>
      <c r="K492" s="96">
        <v>0.16928000000000001</v>
      </c>
      <c r="M492" s="99">
        <v>3419</v>
      </c>
      <c r="N492" s="98">
        <v>71</v>
      </c>
      <c r="O492" s="99">
        <v>3470.3</v>
      </c>
      <c r="P492" s="98">
        <v>2.4</v>
      </c>
      <c r="Q492" s="98">
        <v>1.5</v>
      </c>
      <c r="R492" s="97">
        <v>1.0200000000000001E-2</v>
      </c>
      <c r="T492" s="98">
        <v>80</v>
      </c>
      <c r="U492" s="98">
        <v>120</v>
      </c>
      <c r="V492" s="98">
        <v>0.5</v>
      </c>
      <c r="W492" s="98">
        <v>1</v>
      </c>
      <c r="X492" s="98">
        <v>0.24</v>
      </c>
      <c r="Y492" s="98">
        <v>0.18</v>
      </c>
      <c r="Z492" s="98">
        <v>1.52</v>
      </c>
      <c r="AA492" s="98">
        <v>0.63</v>
      </c>
      <c r="AB492" s="98">
        <v>0.56999999999999995</v>
      </c>
      <c r="AC492" s="98">
        <v>0.25</v>
      </c>
      <c r="AD492" s="98">
        <v>1220</v>
      </c>
      <c r="AE492" s="98">
        <v>140</v>
      </c>
      <c r="AF492" s="95">
        <v>9.1999999999999998E-2</v>
      </c>
      <c r="AG492" s="98">
        <v>5.3999999999999999E-2</v>
      </c>
      <c r="AH492" s="96">
        <v>16.100000000000001</v>
      </c>
      <c r="AI492" s="96">
        <v>2.7</v>
      </c>
      <c r="AJ492" s="95">
        <v>0.29799999999999999</v>
      </c>
      <c r="AK492" s="95">
        <v>6.7000000000000004E-2</v>
      </c>
      <c r="AL492" s="96">
        <v>3.7</v>
      </c>
      <c r="AM492" s="96">
        <v>1</v>
      </c>
      <c r="AN492" s="96">
        <v>6.8</v>
      </c>
      <c r="AO492" s="96">
        <v>1.5</v>
      </c>
      <c r="AP492" s="96">
        <v>1.57</v>
      </c>
      <c r="AQ492" s="96">
        <v>0.36</v>
      </c>
      <c r="AR492" s="96">
        <v>26.3</v>
      </c>
      <c r="AS492" s="93">
        <v>4.5999999999999996</v>
      </c>
      <c r="AT492" s="96">
        <v>7.5</v>
      </c>
      <c r="AU492" s="96">
        <v>1.1000000000000001</v>
      </c>
      <c r="AV492" s="99">
        <v>95</v>
      </c>
      <c r="AW492" s="98">
        <v>10</v>
      </c>
      <c r="AX492" s="98">
        <v>33.700000000000003</v>
      </c>
      <c r="AY492" s="98">
        <v>4</v>
      </c>
      <c r="AZ492" s="98">
        <v>186</v>
      </c>
      <c r="BA492" s="98">
        <v>18</v>
      </c>
      <c r="BB492" s="98">
        <v>42.2</v>
      </c>
      <c r="BC492" s="98">
        <v>5.0999999999999996</v>
      </c>
      <c r="BD492" s="98">
        <v>388</v>
      </c>
      <c r="BE492" s="98">
        <v>46</v>
      </c>
      <c r="BF492" s="98">
        <v>75</v>
      </c>
      <c r="BG492" s="98">
        <v>8.6</v>
      </c>
      <c r="BI492" s="93">
        <v>6.4</v>
      </c>
      <c r="BJ492" s="98">
        <v>3</v>
      </c>
      <c r="BK492" s="98">
        <v>546000</v>
      </c>
      <c r="BL492" s="98">
        <v>64000</v>
      </c>
      <c r="BM492" s="98">
        <v>8960</v>
      </c>
      <c r="BN492" s="98">
        <v>850</v>
      </c>
      <c r="BO492" s="99">
        <v>171</v>
      </c>
      <c r="BP492" s="98">
        <v>17</v>
      </c>
      <c r="BQ492" s="99">
        <v>187</v>
      </c>
      <c r="BR492" s="98">
        <v>19</v>
      </c>
      <c r="CD492" s="3"/>
      <c r="CE492" s="3"/>
      <c r="CF492" s="3"/>
    </row>
    <row r="493" spans="1:84" s="98" customFormat="1">
      <c r="A493" s="3" t="s">
        <v>639</v>
      </c>
      <c r="B493" s="92" t="s">
        <v>244</v>
      </c>
      <c r="C493" s="3"/>
      <c r="D493" s="93">
        <v>11.015000000000001</v>
      </c>
      <c r="E493" s="94">
        <v>0.2994</v>
      </c>
      <c r="F493" s="94">
        <v>9.8999999999999999E-4</v>
      </c>
      <c r="G493" s="95">
        <v>28.834</v>
      </c>
      <c r="H493" s="96">
        <v>0.84</v>
      </c>
      <c r="I493" s="97">
        <v>0.70079999999999998</v>
      </c>
      <c r="J493" s="95">
        <v>1.9E-2</v>
      </c>
      <c r="K493" s="96">
        <v>0.42914000000000002</v>
      </c>
      <c r="M493" s="99">
        <v>3423.7</v>
      </c>
      <c r="N493" s="98">
        <v>71</v>
      </c>
      <c r="O493" s="99">
        <v>3467.5</v>
      </c>
      <c r="P493" s="98">
        <v>2.1</v>
      </c>
      <c r="Q493" s="98">
        <v>1.26</v>
      </c>
      <c r="R493" s="97">
        <v>8.5000000000000006E-3</v>
      </c>
      <c r="T493" s="98">
        <v>200</v>
      </c>
      <c r="U493" s="98">
        <v>130</v>
      </c>
      <c r="V493" s="98">
        <v>1.2</v>
      </c>
      <c r="W493" s="98">
        <v>1.5</v>
      </c>
      <c r="X493" s="98">
        <v>0.17</v>
      </c>
      <c r="Y493" s="98">
        <v>0.16</v>
      </c>
      <c r="Z493" s="98">
        <v>0.55000000000000004</v>
      </c>
      <c r="AA493" s="98">
        <v>0.28999999999999998</v>
      </c>
      <c r="AB493" s="98">
        <v>0.47</v>
      </c>
      <c r="AC493" s="98">
        <v>0.18</v>
      </c>
      <c r="AD493" s="98">
        <v>485</v>
      </c>
      <c r="AE493" s="98">
        <v>42</v>
      </c>
      <c r="AF493" s="95">
        <v>3.2000000000000001E-2</v>
      </c>
      <c r="AG493" s="98">
        <v>3.5999999999999997E-2</v>
      </c>
      <c r="AH493" s="96">
        <v>13.3</v>
      </c>
      <c r="AI493" s="96">
        <v>2.2999999999999998</v>
      </c>
      <c r="AJ493" s="95">
        <v>2.5999999999999999E-2</v>
      </c>
      <c r="AK493" s="95">
        <v>2.4E-2</v>
      </c>
      <c r="AL493" s="96">
        <v>0.72</v>
      </c>
      <c r="AM493" s="96">
        <v>0.36</v>
      </c>
      <c r="AN493" s="96">
        <v>1.3</v>
      </c>
      <c r="AO493" s="96">
        <v>0.85</v>
      </c>
      <c r="AP493" s="96">
        <v>0.56000000000000005</v>
      </c>
      <c r="AQ493" s="96">
        <v>0.26</v>
      </c>
      <c r="AR493" s="96">
        <v>9.9</v>
      </c>
      <c r="AS493" s="93">
        <v>2.2000000000000002</v>
      </c>
      <c r="AT493" s="96">
        <v>3.19</v>
      </c>
      <c r="AU493" s="96">
        <v>0.62</v>
      </c>
      <c r="AV493" s="99">
        <v>41.3</v>
      </c>
      <c r="AW493" s="98">
        <v>4.2</v>
      </c>
      <c r="AX493" s="98">
        <v>15.2</v>
      </c>
      <c r="AY493" s="98">
        <v>1.6</v>
      </c>
      <c r="AZ493" s="98">
        <v>85</v>
      </c>
      <c r="BA493" s="98">
        <v>9.4</v>
      </c>
      <c r="BB493" s="98">
        <v>20.2</v>
      </c>
      <c r="BC493" s="98">
        <v>2.5</v>
      </c>
      <c r="BD493" s="98">
        <v>197</v>
      </c>
      <c r="BE493" s="98">
        <v>20</v>
      </c>
      <c r="BF493" s="98">
        <v>44.8</v>
      </c>
      <c r="BG493" s="98">
        <v>3.7</v>
      </c>
      <c r="BI493" s="93">
        <v>5</v>
      </c>
      <c r="BJ493" s="98">
        <v>3.3</v>
      </c>
      <c r="BK493" s="98">
        <v>534000</v>
      </c>
      <c r="BL493" s="98">
        <v>50000</v>
      </c>
      <c r="BM493" s="98">
        <v>9890</v>
      </c>
      <c r="BN493" s="98">
        <v>920</v>
      </c>
      <c r="BO493" s="99">
        <v>110.3</v>
      </c>
      <c r="BP493" s="98">
        <v>8.1</v>
      </c>
      <c r="BQ493" s="99">
        <v>186</v>
      </c>
      <c r="BR493" s="98">
        <v>13</v>
      </c>
      <c r="CD493" s="3"/>
      <c r="CE493" s="3"/>
      <c r="CF493" s="3"/>
    </row>
    <row r="494" spans="1:84" s="98" customFormat="1">
      <c r="A494" s="3" t="s">
        <v>640</v>
      </c>
      <c r="B494" s="92" t="s">
        <v>244</v>
      </c>
      <c r="C494" s="3"/>
      <c r="D494" s="93">
        <v>11.007999999999999</v>
      </c>
      <c r="E494" s="94">
        <v>0.29932999999999998</v>
      </c>
      <c r="F494" s="94">
        <v>1.1000000000000001E-3</v>
      </c>
      <c r="G494" s="95">
        <v>30.34</v>
      </c>
      <c r="H494" s="96">
        <v>0.89</v>
      </c>
      <c r="I494" s="97">
        <v>0.73780000000000001</v>
      </c>
      <c r="J494" s="95">
        <v>0.02</v>
      </c>
      <c r="K494" s="96">
        <v>0.70598000000000005</v>
      </c>
      <c r="M494" s="99">
        <v>3562.4</v>
      </c>
      <c r="N494" s="98">
        <v>74</v>
      </c>
      <c r="O494" s="99">
        <v>3466.5</v>
      </c>
      <c r="P494" s="98">
        <v>2.1</v>
      </c>
      <c r="Q494" s="98">
        <v>-2.77</v>
      </c>
      <c r="R494" s="97">
        <v>0</v>
      </c>
      <c r="T494" s="98">
        <v>120</v>
      </c>
      <c r="U494" s="98">
        <v>190</v>
      </c>
      <c r="V494" s="98" t="s">
        <v>250</v>
      </c>
      <c r="W494" s="98" t="s">
        <v>250</v>
      </c>
      <c r="X494" s="98">
        <v>0.42</v>
      </c>
      <c r="Y494" s="98">
        <v>0.28999999999999998</v>
      </c>
      <c r="Z494" s="98">
        <v>1.49</v>
      </c>
      <c r="AA494" s="98">
        <v>0.55000000000000004</v>
      </c>
      <c r="AB494" s="98">
        <v>0.72</v>
      </c>
      <c r="AC494" s="98">
        <v>0.3</v>
      </c>
      <c r="AD494" s="98">
        <v>696</v>
      </c>
      <c r="AE494" s="98">
        <v>65</v>
      </c>
      <c r="AF494" s="95">
        <v>0.56000000000000005</v>
      </c>
      <c r="AG494" s="98">
        <v>0.18</v>
      </c>
      <c r="AH494" s="96">
        <v>16.899999999999999</v>
      </c>
      <c r="AI494" s="96">
        <v>2.2000000000000002</v>
      </c>
      <c r="AJ494" s="95">
        <v>0.7</v>
      </c>
      <c r="AK494" s="95">
        <v>0.14000000000000001</v>
      </c>
      <c r="AL494" s="96">
        <v>5.7</v>
      </c>
      <c r="AM494" s="96">
        <v>1.7</v>
      </c>
      <c r="AN494" s="96">
        <v>6.2</v>
      </c>
      <c r="AO494" s="96">
        <v>1.6</v>
      </c>
      <c r="AP494" s="96">
        <v>1.39</v>
      </c>
      <c r="AQ494" s="96">
        <v>0.35</v>
      </c>
      <c r="AR494" s="96">
        <v>14.1</v>
      </c>
      <c r="AS494" s="93">
        <v>3.5</v>
      </c>
      <c r="AT494" s="96">
        <v>4.54</v>
      </c>
      <c r="AU494" s="96">
        <v>0.49</v>
      </c>
      <c r="AV494" s="99">
        <v>52.5</v>
      </c>
      <c r="AW494" s="98">
        <v>7.3</v>
      </c>
      <c r="AX494" s="98">
        <v>22.2</v>
      </c>
      <c r="AY494" s="98">
        <v>2.1</v>
      </c>
      <c r="AZ494" s="98">
        <v>121</v>
      </c>
      <c r="BA494" s="98">
        <v>13</v>
      </c>
      <c r="BB494" s="98">
        <v>26.9</v>
      </c>
      <c r="BC494" s="98">
        <v>3</v>
      </c>
      <c r="BD494" s="98">
        <v>278</v>
      </c>
      <c r="BE494" s="98">
        <v>26</v>
      </c>
      <c r="BF494" s="98">
        <v>59.4</v>
      </c>
      <c r="BG494" s="98">
        <v>5.3</v>
      </c>
      <c r="BI494" s="93">
        <v>5.6</v>
      </c>
      <c r="BJ494" s="98">
        <v>3.6</v>
      </c>
      <c r="BK494" s="98">
        <v>470000</v>
      </c>
      <c r="BL494" s="98">
        <v>35000</v>
      </c>
      <c r="BM494" s="98">
        <v>8350</v>
      </c>
      <c r="BN494" s="98">
        <v>700</v>
      </c>
      <c r="BO494" s="99">
        <v>102.8</v>
      </c>
      <c r="BP494" s="98">
        <v>7.9</v>
      </c>
      <c r="BQ494" s="99">
        <v>172</v>
      </c>
      <c r="BR494" s="98">
        <v>13</v>
      </c>
      <c r="CD494" s="3"/>
      <c r="CE494" s="3"/>
      <c r="CF494" s="3"/>
    </row>
    <row r="495" spans="1:84" s="98" customFormat="1">
      <c r="A495" s="3" t="s">
        <v>641</v>
      </c>
      <c r="B495" s="92" t="s">
        <v>244</v>
      </c>
      <c r="C495" s="3"/>
      <c r="D495" s="93">
        <v>11.005000000000001</v>
      </c>
      <c r="E495" s="94">
        <v>0.29859999999999998</v>
      </c>
      <c r="F495" s="94">
        <v>1.2999999999999999E-3</v>
      </c>
      <c r="G495" s="95">
        <v>29.54</v>
      </c>
      <c r="H495" s="96">
        <v>0.92</v>
      </c>
      <c r="I495" s="97">
        <v>0.72009999999999996</v>
      </c>
      <c r="J495" s="95">
        <v>2.1000000000000001E-2</v>
      </c>
      <c r="K495" s="96">
        <v>0.93715000000000004</v>
      </c>
      <c r="M495" s="99">
        <v>3496</v>
      </c>
      <c r="N495" s="98">
        <v>78</v>
      </c>
      <c r="O495" s="99">
        <v>3463.2</v>
      </c>
      <c r="P495" s="98">
        <v>2.4</v>
      </c>
      <c r="Q495" s="98">
        <v>-0.94</v>
      </c>
      <c r="R495" s="97">
        <v>2.5000000000000001E-3</v>
      </c>
      <c r="T495" s="98">
        <v>260</v>
      </c>
      <c r="U495" s="98">
        <v>150</v>
      </c>
      <c r="V495" s="98">
        <v>0.6</v>
      </c>
      <c r="W495" s="98">
        <v>1.4</v>
      </c>
      <c r="X495" s="98">
        <v>0.72</v>
      </c>
      <c r="Y495" s="98">
        <v>0.36</v>
      </c>
      <c r="Z495" s="98">
        <v>1.1399999999999999</v>
      </c>
      <c r="AA495" s="98">
        <v>0.55000000000000004</v>
      </c>
      <c r="AB495" s="98">
        <v>0.59</v>
      </c>
      <c r="AC495" s="98">
        <v>0.23</v>
      </c>
      <c r="AD495" s="98">
        <v>1490</v>
      </c>
      <c r="AE495" s="98">
        <v>180</v>
      </c>
      <c r="AF495" s="95">
        <v>3.48</v>
      </c>
      <c r="AG495" s="98">
        <v>0.56000000000000005</v>
      </c>
      <c r="AH495" s="96">
        <v>34.5</v>
      </c>
      <c r="AI495" s="96">
        <v>4.0999999999999996</v>
      </c>
      <c r="AJ495" s="95">
        <v>4.41</v>
      </c>
      <c r="AK495" s="95">
        <v>0.63</v>
      </c>
      <c r="AL495" s="96">
        <v>35.9</v>
      </c>
      <c r="AM495" s="96">
        <v>4.5</v>
      </c>
      <c r="AN495" s="96">
        <v>25.3</v>
      </c>
      <c r="AO495" s="96">
        <v>3.4</v>
      </c>
      <c r="AP495" s="96">
        <v>5.6</v>
      </c>
      <c r="AQ495" s="96">
        <v>0.65</v>
      </c>
      <c r="AR495" s="96">
        <v>46.4</v>
      </c>
      <c r="AS495" s="93">
        <v>5.0999999999999996</v>
      </c>
      <c r="AT495" s="96">
        <v>11.7</v>
      </c>
      <c r="AU495" s="96">
        <v>1.7</v>
      </c>
      <c r="AV495" s="99">
        <v>136</v>
      </c>
      <c r="AW495" s="98">
        <v>13</v>
      </c>
      <c r="AX495" s="98">
        <v>45.5</v>
      </c>
      <c r="AY495" s="98">
        <v>4.5999999999999996</v>
      </c>
      <c r="AZ495" s="98">
        <v>229</v>
      </c>
      <c r="BA495" s="98">
        <v>30</v>
      </c>
      <c r="BB495" s="98">
        <v>48.2</v>
      </c>
      <c r="BC495" s="98">
        <v>5.0999999999999996</v>
      </c>
      <c r="BD495" s="98">
        <v>417</v>
      </c>
      <c r="BE495" s="98">
        <v>41</v>
      </c>
      <c r="BF495" s="98">
        <v>82.2</v>
      </c>
      <c r="BG495" s="98">
        <v>8.6</v>
      </c>
      <c r="BI495" s="93">
        <v>20.6</v>
      </c>
      <c r="BJ495" s="98">
        <v>4.4000000000000004</v>
      </c>
      <c r="BK495" s="98">
        <v>430000</v>
      </c>
      <c r="BL495" s="98">
        <v>44000</v>
      </c>
      <c r="BM495" s="98">
        <v>7120</v>
      </c>
      <c r="BN495" s="98">
        <v>850</v>
      </c>
      <c r="BO495" s="99">
        <v>208</v>
      </c>
      <c r="BP495" s="98">
        <v>18</v>
      </c>
      <c r="BQ495" s="99">
        <v>229</v>
      </c>
      <c r="BR495" s="98">
        <v>19</v>
      </c>
      <c r="CD495" s="3"/>
      <c r="CE495" s="3"/>
      <c r="CF495" s="3"/>
    </row>
    <row r="496" spans="1:84" s="98" customFormat="1">
      <c r="A496" s="3" t="s">
        <v>642</v>
      </c>
      <c r="B496" s="92" t="s">
        <v>244</v>
      </c>
      <c r="C496" s="3"/>
      <c r="D496" s="93">
        <v>11.045999999999999</v>
      </c>
      <c r="E496" s="94">
        <v>0.29930000000000001</v>
      </c>
      <c r="F496" s="94">
        <v>1.2999999999999999E-3</v>
      </c>
      <c r="G496" s="95">
        <v>28.74</v>
      </c>
      <c r="H496" s="96">
        <v>0.84</v>
      </c>
      <c r="I496" s="97">
        <v>0.69910000000000005</v>
      </c>
      <c r="J496" s="95">
        <v>1.9E-2</v>
      </c>
      <c r="K496" s="96">
        <v>0.53661999999999999</v>
      </c>
      <c r="M496" s="99">
        <v>3417</v>
      </c>
      <c r="N496" s="98">
        <v>71</v>
      </c>
      <c r="O496" s="99">
        <v>3467.3</v>
      </c>
      <c r="P496" s="98">
        <v>1.4</v>
      </c>
      <c r="Q496" s="98">
        <v>1.44</v>
      </c>
      <c r="R496" s="97">
        <v>9.5999999999999992E-3</v>
      </c>
      <c r="T496" s="98">
        <v>74</v>
      </c>
      <c r="U496" s="98">
        <v>79</v>
      </c>
      <c r="V496" s="98" t="s">
        <v>250</v>
      </c>
      <c r="W496" s="98" t="s">
        <v>250</v>
      </c>
      <c r="X496" s="98">
        <v>0.23</v>
      </c>
      <c r="Y496" s="98">
        <v>0.2</v>
      </c>
      <c r="Z496" s="98">
        <v>1.1499999999999999</v>
      </c>
      <c r="AA496" s="98">
        <v>0.56999999999999995</v>
      </c>
      <c r="AB496" s="98">
        <v>0.32</v>
      </c>
      <c r="AC496" s="98">
        <v>0.2</v>
      </c>
      <c r="AD496" s="98">
        <v>1090</v>
      </c>
      <c r="AE496" s="98">
        <v>170</v>
      </c>
      <c r="AF496" s="95">
        <v>0.124</v>
      </c>
      <c r="AG496" s="98">
        <v>7.0999999999999994E-2</v>
      </c>
      <c r="AH496" s="96">
        <v>14</v>
      </c>
      <c r="AI496" s="96">
        <v>2.1</v>
      </c>
      <c r="AJ496" s="95">
        <v>0.28599999999999998</v>
      </c>
      <c r="AK496" s="95">
        <v>0.08</v>
      </c>
      <c r="AL496" s="96">
        <v>4.0999999999999996</v>
      </c>
      <c r="AM496" s="96">
        <v>1.1000000000000001</v>
      </c>
      <c r="AN496" s="96">
        <v>5.8</v>
      </c>
      <c r="AO496" s="96">
        <v>1.8</v>
      </c>
      <c r="AP496" s="96">
        <v>1.57</v>
      </c>
      <c r="AQ496" s="96">
        <v>0.44</v>
      </c>
      <c r="AR496" s="96">
        <v>21.9</v>
      </c>
      <c r="AS496" s="93">
        <v>4.5999999999999996</v>
      </c>
      <c r="AT496" s="96">
        <v>7.4</v>
      </c>
      <c r="AU496" s="96">
        <v>1.2</v>
      </c>
      <c r="AV496" s="99">
        <v>92</v>
      </c>
      <c r="AW496" s="98">
        <v>11</v>
      </c>
      <c r="AX496" s="98">
        <v>33.9</v>
      </c>
      <c r="AY496" s="98">
        <v>4.2</v>
      </c>
      <c r="AZ496" s="98">
        <v>176</v>
      </c>
      <c r="BA496" s="98">
        <v>28</v>
      </c>
      <c r="BB496" s="98">
        <v>38.700000000000003</v>
      </c>
      <c r="BC496" s="98">
        <v>6.4</v>
      </c>
      <c r="BD496" s="98">
        <v>388</v>
      </c>
      <c r="BE496" s="98">
        <v>57</v>
      </c>
      <c r="BF496" s="98">
        <v>84</v>
      </c>
      <c r="BG496" s="98">
        <v>12</v>
      </c>
      <c r="BI496" s="93">
        <v>6.2</v>
      </c>
      <c r="BJ496" s="98">
        <v>2.5</v>
      </c>
      <c r="BK496" s="98">
        <v>535000</v>
      </c>
      <c r="BL496" s="98">
        <v>80000</v>
      </c>
      <c r="BM496" s="98">
        <v>10200</v>
      </c>
      <c r="BN496" s="98">
        <v>1600</v>
      </c>
      <c r="BO496" s="99">
        <v>170</v>
      </c>
      <c r="BP496" s="98">
        <v>19</v>
      </c>
      <c r="BQ496" s="99">
        <v>192</v>
      </c>
      <c r="BR496" s="98">
        <v>22</v>
      </c>
      <c r="CD496" s="3"/>
      <c r="CE496" s="3"/>
      <c r="CF496" s="3"/>
    </row>
    <row r="497" spans="1:90" s="98" customFormat="1">
      <c r="A497" s="3" t="s">
        <v>643</v>
      </c>
      <c r="B497" s="92" t="s">
        <v>244</v>
      </c>
      <c r="C497" s="3"/>
      <c r="D497" s="93">
        <v>11.005000000000001</v>
      </c>
      <c r="E497" s="94">
        <v>0.29888999999999999</v>
      </c>
      <c r="F497" s="94">
        <v>1.1000000000000001E-3</v>
      </c>
      <c r="G497" s="95">
        <v>28.916</v>
      </c>
      <c r="H497" s="96">
        <v>0.84</v>
      </c>
      <c r="I497" s="97">
        <v>0.70420000000000005</v>
      </c>
      <c r="J497" s="95">
        <v>1.9E-2</v>
      </c>
      <c r="K497" s="96">
        <v>0.39924999999999999</v>
      </c>
      <c r="M497" s="99">
        <v>3436.7</v>
      </c>
      <c r="N497" s="98">
        <v>72</v>
      </c>
      <c r="O497" s="99">
        <v>3464.5</v>
      </c>
      <c r="P497" s="98">
        <v>2.2000000000000002</v>
      </c>
      <c r="Q497" s="98">
        <v>0.8</v>
      </c>
      <c r="R497" s="97">
        <v>4.8999999999999998E-3</v>
      </c>
      <c r="T497" s="98">
        <v>190</v>
      </c>
      <c r="U497" s="98">
        <v>100</v>
      </c>
      <c r="V497" s="98">
        <v>0.3</v>
      </c>
      <c r="W497" s="98">
        <v>1.2</v>
      </c>
      <c r="X497" s="98" t="s">
        <v>250</v>
      </c>
      <c r="Y497" s="98" t="s">
        <v>250</v>
      </c>
      <c r="Z497" s="98">
        <v>0.92</v>
      </c>
      <c r="AA497" s="98">
        <v>0.46</v>
      </c>
      <c r="AB497" s="98">
        <v>0.8</v>
      </c>
      <c r="AC497" s="98">
        <v>0.3</v>
      </c>
      <c r="AD497" s="98">
        <v>1460</v>
      </c>
      <c r="AE497" s="98">
        <v>180</v>
      </c>
      <c r="AF497" s="95">
        <v>7.0000000000000007E-2</v>
      </c>
      <c r="AG497" s="98">
        <v>5.0999999999999997E-2</v>
      </c>
      <c r="AH497" s="96">
        <v>13.4</v>
      </c>
      <c r="AI497" s="96">
        <v>1.5</v>
      </c>
      <c r="AJ497" s="95">
        <v>0.28399999999999997</v>
      </c>
      <c r="AK497" s="95">
        <v>6.2E-2</v>
      </c>
      <c r="AL497" s="96">
        <v>5.8</v>
      </c>
      <c r="AM497" s="96">
        <v>1.8</v>
      </c>
      <c r="AN497" s="96">
        <v>8.5</v>
      </c>
      <c r="AO497" s="96">
        <v>2.2999999999999998</v>
      </c>
      <c r="AP497" s="96">
        <v>2.25</v>
      </c>
      <c r="AQ497" s="96">
        <v>0.45</v>
      </c>
      <c r="AR497" s="96">
        <v>33.4</v>
      </c>
      <c r="AS497" s="93">
        <v>5.2</v>
      </c>
      <c r="AT497" s="96">
        <v>10.9</v>
      </c>
      <c r="AU497" s="96">
        <v>1.4</v>
      </c>
      <c r="AV497" s="99">
        <v>121</v>
      </c>
      <c r="AW497" s="98">
        <v>12</v>
      </c>
      <c r="AX497" s="98">
        <v>46.9</v>
      </c>
      <c r="AY497" s="98">
        <v>4.2</v>
      </c>
      <c r="AZ497" s="98">
        <v>215</v>
      </c>
      <c r="BA497" s="98">
        <v>15</v>
      </c>
      <c r="BB497" s="98">
        <v>45.6</v>
      </c>
      <c r="BC497" s="98">
        <v>6</v>
      </c>
      <c r="BD497" s="98">
        <v>405</v>
      </c>
      <c r="BE497" s="98">
        <v>38</v>
      </c>
      <c r="BF497" s="98">
        <v>80.900000000000006</v>
      </c>
      <c r="BG497" s="98">
        <v>9.6999999999999993</v>
      </c>
      <c r="BI497" s="93">
        <v>6.8</v>
      </c>
      <c r="BJ497" s="98">
        <v>3.1</v>
      </c>
      <c r="BK497" s="98">
        <v>511000</v>
      </c>
      <c r="BL497" s="98">
        <v>58000</v>
      </c>
      <c r="BM497" s="98">
        <v>8420</v>
      </c>
      <c r="BN497" s="98">
        <v>800</v>
      </c>
      <c r="BO497" s="99">
        <v>145</v>
      </c>
      <c r="BP497" s="98">
        <v>13</v>
      </c>
      <c r="BQ497" s="99">
        <v>146</v>
      </c>
      <c r="BR497" s="98">
        <v>13</v>
      </c>
      <c r="CD497" s="3"/>
      <c r="CE497" s="3"/>
      <c r="CF497" s="3"/>
    </row>
    <row r="498" spans="1:90" s="98" customFormat="1">
      <c r="A498" s="3" t="s">
        <v>644</v>
      </c>
      <c r="B498" s="92" t="s">
        <v>244</v>
      </c>
      <c r="C498" s="3"/>
      <c r="D498" s="93">
        <v>11.135999999999999</v>
      </c>
      <c r="E498" s="94">
        <v>0.30001</v>
      </c>
      <c r="F498" s="94">
        <v>1.1000000000000001E-3</v>
      </c>
      <c r="G498" s="95">
        <v>29.51</v>
      </c>
      <c r="H498" s="96">
        <v>0.87</v>
      </c>
      <c r="I498" s="97">
        <v>0.71599999999999997</v>
      </c>
      <c r="J498" s="95">
        <v>0.02</v>
      </c>
      <c r="K498" s="96">
        <v>0.83879000000000004</v>
      </c>
      <c r="M498" s="99">
        <v>3481</v>
      </c>
      <c r="N498" s="98">
        <v>73</v>
      </c>
      <c r="O498" s="99">
        <v>3469.5</v>
      </c>
      <c r="P498" s="98">
        <v>1.7</v>
      </c>
      <c r="Q498" s="98">
        <v>-0.32</v>
      </c>
      <c r="R498" s="97">
        <v>2.5000000000000001E-3</v>
      </c>
      <c r="T498" s="98">
        <v>200</v>
      </c>
      <c r="U498" s="98">
        <v>120</v>
      </c>
      <c r="V498" s="98">
        <v>1.4</v>
      </c>
      <c r="W498" s="98">
        <v>1.4</v>
      </c>
      <c r="X498" s="98">
        <v>0.17</v>
      </c>
      <c r="Y498" s="98">
        <v>0.16</v>
      </c>
      <c r="Z498" s="98">
        <v>1.53</v>
      </c>
      <c r="AA498" s="98">
        <v>0.74</v>
      </c>
      <c r="AB498" s="98">
        <v>0.44</v>
      </c>
      <c r="AC498" s="98">
        <v>0.26</v>
      </c>
      <c r="AD498" s="98">
        <v>899</v>
      </c>
      <c r="AE498" s="98">
        <v>72</v>
      </c>
      <c r="AF498" s="95">
        <v>0.1</v>
      </c>
      <c r="AG498" s="98">
        <v>0.06</v>
      </c>
      <c r="AH498" s="96">
        <v>13.3</v>
      </c>
      <c r="AI498" s="96">
        <v>1.6</v>
      </c>
      <c r="AJ498" s="95">
        <v>0.11700000000000001</v>
      </c>
      <c r="AK498" s="95">
        <v>4.8000000000000001E-2</v>
      </c>
      <c r="AL498" s="96">
        <v>2.6</v>
      </c>
      <c r="AM498" s="96">
        <v>1.2</v>
      </c>
      <c r="AN498" s="96">
        <v>3.5</v>
      </c>
      <c r="AO498" s="96">
        <v>1.2</v>
      </c>
      <c r="AP498" s="96">
        <v>1.61</v>
      </c>
      <c r="AQ498" s="96">
        <v>0.36</v>
      </c>
      <c r="AR498" s="96">
        <v>17.100000000000001</v>
      </c>
      <c r="AS498" s="93">
        <v>3.1</v>
      </c>
      <c r="AT498" s="96">
        <v>5.75</v>
      </c>
      <c r="AU498" s="96">
        <v>0.61</v>
      </c>
      <c r="AV498" s="99">
        <v>68.599999999999994</v>
      </c>
      <c r="AW498" s="98">
        <v>6.5</v>
      </c>
      <c r="AX498" s="98">
        <v>27.7</v>
      </c>
      <c r="AY498" s="98">
        <v>3.1</v>
      </c>
      <c r="AZ498" s="98">
        <v>147</v>
      </c>
      <c r="BA498" s="98">
        <v>13</v>
      </c>
      <c r="BB498" s="98">
        <v>33</v>
      </c>
      <c r="BC498" s="98">
        <v>3.2</v>
      </c>
      <c r="BD498" s="98">
        <v>315</v>
      </c>
      <c r="BE498" s="98">
        <v>28</v>
      </c>
      <c r="BF498" s="98">
        <v>70.2</v>
      </c>
      <c r="BG498" s="98">
        <v>6.2</v>
      </c>
      <c r="BI498" s="93">
        <v>6.4</v>
      </c>
      <c r="BJ498" s="98">
        <v>3.4</v>
      </c>
      <c r="BK498" s="98">
        <v>533000</v>
      </c>
      <c r="BL498" s="98">
        <v>46000</v>
      </c>
      <c r="BM498" s="98">
        <v>9820</v>
      </c>
      <c r="BN498" s="98">
        <v>880</v>
      </c>
      <c r="BO498" s="99">
        <v>132.30000000000001</v>
      </c>
      <c r="BP498" s="98">
        <v>9.6999999999999993</v>
      </c>
      <c r="BQ498" s="99">
        <v>185</v>
      </c>
      <c r="BR498" s="98">
        <v>17</v>
      </c>
      <c r="CD498" s="3"/>
      <c r="CE498" s="3"/>
      <c r="CF498" s="3"/>
    </row>
    <row r="499" spans="1:90" s="98" customFormat="1">
      <c r="A499" s="3" t="s">
        <v>645</v>
      </c>
      <c r="B499" s="92" t="s">
        <v>244</v>
      </c>
      <c r="C499" s="3"/>
      <c r="D499" s="93">
        <v>11.004</v>
      </c>
      <c r="E499" s="94">
        <v>0.29862</v>
      </c>
      <c r="F499" s="94">
        <v>8.8999999999999995E-4</v>
      </c>
      <c r="G499" s="95">
        <v>29.7</v>
      </c>
      <c r="H499" s="96">
        <v>0.87</v>
      </c>
      <c r="I499" s="97">
        <v>0.72409999999999997</v>
      </c>
      <c r="J499" s="95">
        <v>0.02</v>
      </c>
      <c r="K499" s="96">
        <v>0.87843000000000004</v>
      </c>
      <c r="M499" s="99">
        <v>3511</v>
      </c>
      <c r="N499" s="98">
        <v>73</v>
      </c>
      <c r="O499" s="99">
        <v>3462.8</v>
      </c>
      <c r="P499" s="98">
        <v>1.7</v>
      </c>
      <c r="Q499" s="98">
        <v>-1.4</v>
      </c>
      <c r="R499" s="97">
        <v>-3.4E-5</v>
      </c>
      <c r="T499" s="98">
        <v>310</v>
      </c>
      <c r="U499" s="98">
        <v>140</v>
      </c>
      <c r="V499" s="98" t="s">
        <v>250</v>
      </c>
      <c r="W499" s="98" t="s">
        <v>250</v>
      </c>
      <c r="X499" s="98">
        <v>6.8000000000000005E-2</v>
      </c>
      <c r="Y499" s="98">
        <v>9.5000000000000001E-2</v>
      </c>
      <c r="Z499" s="98">
        <v>1.66</v>
      </c>
      <c r="AA499" s="98">
        <v>0.43</v>
      </c>
      <c r="AB499" s="98">
        <v>0.59</v>
      </c>
      <c r="AC499" s="98">
        <v>0.22</v>
      </c>
      <c r="AD499" s="98">
        <v>980</v>
      </c>
      <c r="AE499" s="98">
        <v>110</v>
      </c>
      <c r="AF499" s="95">
        <v>0.20699999999999999</v>
      </c>
      <c r="AG499" s="98">
        <v>8.5999999999999993E-2</v>
      </c>
      <c r="AH499" s="96">
        <v>13.5</v>
      </c>
      <c r="AI499" s="96">
        <v>1.6</v>
      </c>
      <c r="AJ499" s="95">
        <v>0.39900000000000002</v>
      </c>
      <c r="AK499" s="95">
        <v>9.0999999999999998E-2</v>
      </c>
      <c r="AL499" s="96">
        <v>3.8</v>
      </c>
      <c r="AM499" s="96">
        <v>1.3</v>
      </c>
      <c r="AN499" s="96">
        <v>5.6</v>
      </c>
      <c r="AO499" s="96">
        <v>1.5</v>
      </c>
      <c r="AP499" s="96">
        <v>1.06</v>
      </c>
      <c r="AQ499" s="96">
        <v>0.34</v>
      </c>
      <c r="AR499" s="96">
        <v>15.3</v>
      </c>
      <c r="AS499" s="93">
        <v>2.9</v>
      </c>
      <c r="AT499" s="96">
        <v>5.56</v>
      </c>
      <c r="AU499" s="96">
        <v>0.57999999999999996</v>
      </c>
      <c r="AV499" s="99">
        <v>73.7</v>
      </c>
      <c r="AW499" s="98">
        <v>8.4</v>
      </c>
      <c r="AX499" s="98">
        <v>28.6</v>
      </c>
      <c r="AY499" s="98">
        <v>2.5</v>
      </c>
      <c r="AZ499" s="98">
        <v>157</v>
      </c>
      <c r="BA499" s="98">
        <v>14</v>
      </c>
      <c r="BB499" s="98">
        <v>37.6</v>
      </c>
      <c r="BC499" s="98">
        <v>4.0999999999999996</v>
      </c>
      <c r="BD499" s="98">
        <v>370</v>
      </c>
      <c r="BE499" s="98">
        <v>24</v>
      </c>
      <c r="BF499" s="98">
        <v>82.5</v>
      </c>
      <c r="BG499" s="98">
        <v>7.5</v>
      </c>
      <c r="BI499" s="93">
        <v>6.5</v>
      </c>
      <c r="BJ499" s="98">
        <v>2</v>
      </c>
      <c r="BK499" s="98">
        <v>481000</v>
      </c>
      <c r="BL499" s="98">
        <v>42000</v>
      </c>
      <c r="BM499" s="98">
        <v>8440</v>
      </c>
      <c r="BN499" s="98">
        <v>750</v>
      </c>
      <c r="BO499" s="99">
        <v>148</v>
      </c>
      <c r="BP499" s="98">
        <v>10</v>
      </c>
      <c r="BQ499" s="99">
        <v>210</v>
      </c>
      <c r="BR499" s="98">
        <v>16</v>
      </c>
      <c r="CD499" s="3"/>
      <c r="CE499" s="3"/>
      <c r="CF499" s="3"/>
    </row>
    <row r="500" spans="1:90" s="98" customFormat="1">
      <c r="A500" s="3" t="s">
        <v>646</v>
      </c>
      <c r="B500" s="92" t="s">
        <v>244</v>
      </c>
      <c r="C500" s="3"/>
      <c r="D500" s="93">
        <v>11.005000000000001</v>
      </c>
      <c r="E500" s="94">
        <v>0.29833999999999999</v>
      </c>
      <c r="F500" s="94">
        <v>1E-3</v>
      </c>
      <c r="G500" s="95">
        <v>28.98</v>
      </c>
      <c r="H500" s="96">
        <v>0.84</v>
      </c>
      <c r="I500" s="97">
        <v>0.70699999999999996</v>
      </c>
      <c r="J500" s="95">
        <v>1.9E-2</v>
      </c>
      <c r="K500" s="96">
        <v>0.58418000000000003</v>
      </c>
      <c r="M500" s="99">
        <v>3447.1</v>
      </c>
      <c r="N500" s="98">
        <v>72</v>
      </c>
      <c r="O500" s="99">
        <v>3462.2</v>
      </c>
      <c r="P500" s="98">
        <v>1.7</v>
      </c>
      <c r="Q500" s="98">
        <v>0.42</v>
      </c>
      <c r="R500" s="97">
        <v>2.8E-3</v>
      </c>
      <c r="T500" s="98">
        <v>360</v>
      </c>
      <c r="U500" s="98">
        <v>120</v>
      </c>
      <c r="V500" s="98">
        <v>0.7</v>
      </c>
      <c r="W500" s="98">
        <v>1.4</v>
      </c>
      <c r="X500" s="98">
        <v>0.14000000000000001</v>
      </c>
      <c r="Y500" s="98">
        <v>0.15</v>
      </c>
      <c r="Z500" s="98">
        <v>1.46</v>
      </c>
      <c r="AA500" s="98">
        <v>0.63</v>
      </c>
      <c r="AB500" s="98">
        <v>0.51</v>
      </c>
      <c r="AC500" s="98">
        <v>0.19</v>
      </c>
      <c r="AD500" s="98">
        <v>515</v>
      </c>
      <c r="AE500" s="98">
        <v>77</v>
      </c>
      <c r="AF500" s="95">
        <v>6.3E-2</v>
      </c>
      <c r="AG500" s="98">
        <v>3.6999999999999998E-2</v>
      </c>
      <c r="AH500" s="96">
        <v>10</v>
      </c>
      <c r="AI500" s="96">
        <v>1.7</v>
      </c>
      <c r="AJ500" s="95">
        <v>2.5000000000000001E-2</v>
      </c>
      <c r="AK500" s="95">
        <v>2.4E-2</v>
      </c>
      <c r="AL500" s="96">
        <v>0.49</v>
      </c>
      <c r="AM500" s="96">
        <v>0.39</v>
      </c>
      <c r="AN500" s="96">
        <v>1.8</v>
      </c>
      <c r="AO500" s="96">
        <v>0.77</v>
      </c>
      <c r="AP500" s="96">
        <v>0.36</v>
      </c>
      <c r="AQ500" s="96">
        <v>0.16</v>
      </c>
      <c r="AR500" s="96">
        <v>6.7</v>
      </c>
      <c r="AS500" s="93">
        <v>2.1</v>
      </c>
      <c r="AT500" s="96">
        <v>2.97</v>
      </c>
      <c r="AU500" s="96">
        <v>0.66</v>
      </c>
      <c r="AV500" s="99">
        <v>38.200000000000003</v>
      </c>
      <c r="AW500" s="98">
        <v>5.3</v>
      </c>
      <c r="AX500" s="98">
        <v>16.8</v>
      </c>
      <c r="AY500" s="98">
        <v>2.2000000000000002</v>
      </c>
      <c r="AZ500" s="98">
        <v>100</v>
      </c>
      <c r="BA500" s="98">
        <v>15</v>
      </c>
      <c r="BB500" s="98">
        <v>20.8</v>
      </c>
      <c r="BC500" s="98">
        <v>2.4</v>
      </c>
      <c r="BD500" s="98">
        <v>227</v>
      </c>
      <c r="BE500" s="98">
        <v>33</v>
      </c>
      <c r="BF500" s="98">
        <v>51.5</v>
      </c>
      <c r="BG500" s="98">
        <v>6.9</v>
      </c>
      <c r="BI500" s="93">
        <v>2.5</v>
      </c>
      <c r="BJ500" s="98">
        <v>2.2999999999999998</v>
      </c>
      <c r="BK500" s="98">
        <v>525000</v>
      </c>
      <c r="BL500" s="98">
        <v>67000</v>
      </c>
      <c r="BM500" s="98">
        <v>10400</v>
      </c>
      <c r="BN500" s="98">
        <v>1200</v>
      </c>
      <c r="BO500" s="99">
        <v>65.400000000000006</v>
      </c>
      <c r="BP500" s="98">
        <v>7</v>
      </c>
      <c r="BQ500" s="99">
        <v>120</v>
      </c>
      <c r="BR500" s="98">
        <v>13</v>
      </c>
      <c r="CD500" s="3"/>
      <c r="CE500" s="3"/>
      <c r="CF500" s="3"/>
    </row>
    <row r="501" spans="1:90" s="98" customFormat="1">
      <c r="A501" s="3" t="s">
        <v>609</v>
      </c>
      <c r="B501" s="3" t="s">
        <v>268</v>
      </c>
      <c r="C501" s="3"/>
      <c r="D501" s="93">
        <v>7.0590000000000002</v>
      </c>
      <c r="E501" s="94">
        <v>0.29880000000000001</v>
      </c>
      <c r="F501" s="94">
        <v>1.6000000000000001E-3</v>
      </c>
      <c r="G501" s="95">
        <v>28.97</v>
      </c>
      <c r="H501" s="96">
        <v>0.73</v>
      </c>
      <c r="I501" s="97">
        <v>0.70379999999999998</v>
      </c>
      <c r="J501" s="95">
        <v>1.4999999999999999E-2</v>
      </c>
      <c r="K501" s="96">
        <v>0.76654</v>
      </c>
      <c r="M501" s="99">
        <v>3435</v>
      </c>
      <c r="N501" s="98">
        <v>59</v>
      </c>
      <c r="O501" s="99">
        <v>3463.8</v>
      </c>
      <c r="P501" s="98">
        <v>2.6</v>
      </c>
      <c r="Q501" s="98">
        <v>0.84</v>
      </c>
      <c r="R501" s="97">
        <v>7.0000000000000001E-3</v>
      </c>
      <c r="T501" s="98">
        <v>220</v>
      </c>
      <c r="U501" s="98">
        <v>380</v>
      </c>
      <c r="V501" s="98">
        <v>0.05</v>
      </c>
      <c r="W501" s="98">
        <v>0.68</v>
      </c>
      <c r="X501" s="98">
        <v>0.11</v>
      </c>
      <c r="Y501" s="98">
        <v>0.12</v>
      </c>
      <c r="Z501" s="98">
        <v>1.54</v>
      </c>
      <c r="AA501" s="98">
        <v>0.4</v>
      </c>
      <c r="AB501" s="98">
        <v>0.4</v>
      </c>
      <c r="AC501" s="98">
        <v>0.25</v>
      </c>
      <c r="AD501" s="98">
        <v>1210</v>
      </c>
      <c r="AE501" s="98">
        <v>110</v>
      </c>
      <c r="AF501" s="95">
        <v>2.9000000000000001E-2</v>
      </c>
      <c r="AG501" s="98">
        <v>0.02</v>
      </c>
      <c r="AH501" s="96">
        <v>12.2</v>
      </c>
      <c r="AI501" s="96">
        <v>1.4</v>
      </c>
      <c r="AJ501" s="95">
        <v>0.254</v>
      </c>
      <c r="AK501" s="95">
        <v>4.2000000000000003E-2</v>
      </c>
      <c r="AL501" s="96">
        <v>3.66</v>
      </c>
      <c r="AM501" s="96">
        <v>0.95</v>
      </c>
      <c r="AN501" s="96">
        <v>5</v>
      </c>
      <c r="AO501" s="96">
        <v>1</v>
      </c>
      <c r="AP501" s="96">
        <v>1.37</v>
      </c>
      <c r="AQ501" s="96">
        <v>0.21</v>
      </c>
      <c r="AR501" s="96">
        <v>25.6</v>
      </c>
      <c r="AS501" s="93">
        <v>5.8</v>
      </c>
      <c r="AT501" s="96">
        <v>7.8</v>
      </c>
      <c r="AU501" s="96">
        <v>1.1000000000000001</v>
      </c>
      <c r="AV501" s="99">
        <v>90</v>
      </c>
      <c r="AW501" s="98">
        <v>11</v>
      </c>
      <c r="AX501" s="98">
        <v>35.4</v>
      </c>
      <c r="AY501" s="98">
        <v>4.5999999999999996</v>
      </c>
      <c r="AZ501" s="98">
        <v>166</v>
      </c>
      <c r="BA501" s="98">
        <v>21</v>
      </c>
      <c r="BB501" s="98">
        <v>34.5</v>
      </c>
      <c r="BC501" s="98">
        <v>5.0999999999999996</v>
      </c>
      <c r="BD501" s="98">
        <v>317</v>
      </c>
      <c r="BE501" s="98">
        <v>42</v>
      </c>
      <c r="BF501" s="98">
        <v>65.900000000000006</v>
      </c>
      <c r="BG501" s="98">
        <v>8.8000000000000007</v>
      </c>
      <c r="BI501" s="93">
        <v>7.3</v>
      </c>
      <c r="BJ501" s="98">
        <v>2.4</v>
      </c>
      <c r="BK501" s="98">
        <v>506000</v>
      </c>
      <c r="BL501" s="98">
        <v>40000</v>
      </c>
      <c r="BM501" s="98">
        <v>8900</v>
      </c>
      <c r="BN501" s="98">
        <v>1300</v>
      </c>
      <c r="BO501" s="99">
        <v>117.6</v>
      </c>
      <c r="BP501" s="98">
        <v>7.3</v>
      </c>
      <c r="BQ501" s="99">
        <v>117.9</v>
      </c>
      <c r="BR501" s="98">
        <v>7.4</v>
      </c>
      <c r="CD501" s="3"/>
      <c r="CE501" s="3"/>
      <c r="CF501" s="3"/>
      <c r="CL501" s="135"/>
    </row>
    <row r="502" spans="1:90" s="98" customFormat="1">
      <c r="A502" s="3" t="s">
        <v>610</v>
      </c>
      <c r="B502" s="3" t="s">
        <v>268</v>
      </c>
      <c r="C502" s="3"/>
      <c r="D502" s="93">
        <v>7.0090000000000003</v>
      </c>
      <c r="E502" s="94">
        <v>0.29970000000000002</v>
      </c>
      <c r="F502" s="94">
        <v>1.5E-3</v>
      </c>
      <c r="G502" s="95">
        <v>29.1</v>
      </c>
      <c r="H502" s="96">
        <v>0.73</v>
      </c>
      <c r="I502" s="97">
        <v>0.70479999999999998</v>
      </c>
      <c r="J502" s="95">
        <v>1.4999999999999999E-2</v>
      </c>
      <c r="K502" s="96">
        <v>0.80283000000000004</v>
      </c>
      <c r="M502" s="99">
        <v>3439</v>
      </c>
      <c r="N502" s="98">
        <v>58</v>
      </c>
      <c r="O502" s="99">
        <v>3468.9</v>
      </c>
      <c r="P502" s="98">
        <v>2</v>
      </c>
      <c r="Q502" s="98">
        <v>0.86</v>
      </c>
      <c r="R502" s="97">
        <v>7.4000000000000003E-3</v>
      </c>
      <c r="T502" s="98">
        <v>320</v>
      </c>
      <c r="U502" s="98">
        <v>190</v>
      </c>
      <c r="V502" s="98" t="s">
        <v>250</v>
      </c>
      <c r="W502" s="98" t="s">
        <v>250</v>
      </c>
      <c r="X502" s="98">
        <v>0.12</v>
      </c>
      <c r="Y502" s="98">
        <v>0.13</v>
      </c>
      <c r="Z502" s="98">
        <v>1.19</v>
      </c>
      <c r="AA502" s="98">
        <v>0.51</v>
      </c>
      <c r="AB502" s="98">
        <v>0.92</v>
      </c>
      <c r="AC502" s="98">
        <v>0.31</v>
      </c>
      <c r="AD502" s="98">
        <v>490</v>
      </c>
      <c r="AE502" s="98">
        <v>44</v>
      </c>
      <c r="AF502" s="95">
        <v>6.1000000000000004E-3</v>
      </c>
      <c r="AG502" s="98">
        <v>9.5999999999999992E-3</v>
      </c>
      <c r="AH502" s="96">
        <v>8.98</v>
      </c>
      <c r="AI502" s="96">
        <v>0.8</v>
      </c>
      <c r="AJ502" s="95">
        <v>4.7E-2</v>
      </c>
      <c r="AK502" s="95">
        <v>2.4E-2</v>
      </c>
      <c r="AL502" s="96">
        <v>0.72</v>
      </c>
      <c r="AM502" s="96">
        <v>0.4</v>
      </c>
      <c r="AN502" s="96">
        <v>1.0900000000000001</v>
      </c>
      <c r="AO502" s="96">
        <v>0.44</v>
      </c>
      <c r="AP502" s="96">
        <v>0.3</v>
      </c>
      <c r="AQ502" s="96">
        <v>0.16</v>
      </c>
      <c r="AR502" s="96">
        <v>6.1</v>
      </c>
      <c r="AS502" s="93">
        <v>1.8</v>
      </c>
      <c r="AT502" s="96">
        <v>2.4900000000000002</v>
      </c>
      <c r="AU502" s="96">
        <v>0.28000000000000003</v>
      </c>
      <c r="AV502" s="99">
        <v>34.799999999999997</v>
      </c>
      <c r="AW502" s="98">
        <v>4.5999999999999996</v>
      </c>
      <c r="AX502" s="98">
        <v>14</v>
      </c>
      <c r="AY502" s="98">
        <v>1.8</v>
      </c>
      <c r="AZ502" s="98">
        <v>79</v>
      </c>
      <c r="BA502" s="98">
        <v>10</v>
      </c>
      <c r="BB502" s="98">
        <v>18.600000000000001</v>
      </c>
      <c r="BC502" s="98">
        <v>1.7</v>
      </c>
      <c r="BD502" s="98">
        <v>194</v>
      </c>
      <c r="BE502" s="98">
        <v>23</v>
      </c>
      <c r="BF502" s="98">
        <v>46.8</v>
      </c>
      <c r="BG502" s="98">
        <v>4.5999999999999996</v>
      </c>
      <c r="BI502" s="93">
        <v>4.9000000000000004</v>
      </c>
      <c r="BJ502" s="98">
        <v>2.2000000000000002</v>
      </c>
      <c r="BK502" s="98">
        <v>523000</v>
      </c>
      <c r="BL502" s="98">
        <v>34000</v>
      </c>
      <c r="BM502" s="98">
        <v>9500</v>
      </c>
      <c r="BN502" s="98">
        <v>1000</v>
      </c>
      <c r="BO502" s="99">
        <v>55.5</v>
      </c>
      <c r="BP502" s="98">
        <v>3.5</v>
      </c>
      <c r="BQ502" s="99">
        <v>93.3</v>
      </c>
      <c r="BR502" s="98">
        <v>6.3</v>
      </c>
      <c r="CD502" s="3"/>
      <c r="CE502" s="3"/>
      <c r="CF502" s="3"/>
      <c r="CL502" s="135"/>
    </row>
    <row r="503" spans="1:90" s="98" customFormat="1">
      <c r="A503" s="3" t="s">
        <v>611</v>
      </c>
      <c r="B503" s="3" t="s">
        <v>268</v>
      </c>
      <c r="C503" s="3"/>
      <c r="D503" s="93">
        <v>7.0730000000000004</v>
      </c>
      <c r="E503" s="94">
        <v>0.2984</v>
      </c>
      <c r="F503" s="94">
        <v>1.6000000000000001E-3</v>
      </c>
      <c r="G503" s="95">
        <v>29.45</v>
      </c>
      <c r="H503" s="96">
        <v>0.74</v>
      </c>
      <c r="I503" s="97">
        <v>0.71630000000000005</v>
      </c>
      <c r="J503" s="95">
        <v>1.6E-2</v>
      </c>
      <c r="K503" s="96">
        <v>0.78983000000000003</v>
      </c>
      <c r="M503" s="99">
        <v>3482</v>
      </c>
      <c r="N503" s="98">
        <v>59</v>
      </c>
      <c r="O503" s="99">
        <v>3462.6</v>
      </c>
      <c r="P503" s="98">
        <v>2.1</v>
      </c>
      <c r="Q503" s="98">
        <v>-0.56999999999999995</v>
      </c>
      <c r="R503" s="97">
        <v>7.2999999999999996E-4</v>
      </c>
      <c r="T503" s="98">
        <v>180</v>
      </c>
      <c r="U503" s="98">
        <v>290</v>
      </c>
      <c r="V503" s="98" t="s">
        <v>250</v>
      </c>
      <c r="W503" s="98" t="s">
        <v>250</v>
      </c>
      <c r="X503" s="98">
        <v>3.5999999999999997E-2</v>
      </c>
      <c r="Y503" s="98">
        <v>7.2999999999999995E-2</v>
      </c>
      <c r="Z503" s="98">
        <v>2</v>
      </c>
      <c r="AA503" s="98">
        <v>0.44</v>
      </c>
      <c r="AB503" s="98">
        <v>0.57999999999999996</v>
      </c>
      <c r="AC503" s="98">
        <v>0.36</v>
      </c>
      <c r="AD503" s="98">
        <v>395</v>
      </c>
      <c r="AE503" s="98">
        <v>28</v>
      </c>
      <c r="AF503" s="95" t="s">
        <v>250</v>
      </c>
      <c r="AG503" s="98" t="s">
        <v>250</v>
      </c>
      <c r="AH503" s="96">
        <v>9.3000000000000007</v>
      </c>
      <c r="AI503" s="96">
        <v>1.5</v>
      </c>
      <c r="AJ503" s="95">
        <v>1.9E-2</v>
      </c>
      <c r="AK503" s="95">
        <v>1.4E-2</v>
      </c>
      <c r="AL503" s="96">
        <v>0.62</v>
      </c>
      <c r="AM503" s="96">
        <v>0.33</v>
      </c>
      <c r="AN503" s="96">
        <v>0.88</v>
      </c>
      <c r="AO503" s="96">
        <v>0.32</v>
      </c>
      <c r="AP503" s="96">
        <v>0.33</v>
      </c>
      <c r="AQ503" s="96">
        <v>0.16</v>
      </c>
      <c r="AR503" s="96">
        <v>7.2</v>
      </c>
      <c r="AS503" s="93">
        <v>2.7</v>
      </c>
      <c r="AT503" s="96">
        <v>2.35</v>
      </c>
      <c r="AU503" s="96">
        <v>0.45</v>
      </c>
      <c r="AV503" s="99">
        <v>28.3</v>
      </c>
      <c r="AW503" s="98">
        <v>4.0999999999999996</v>
      </c>
      <c r="AX503" s="98">
        <v>11.5</v>
      </c>
      <c r="AY503" s="98">
        <v>1.3</v>
      </c>
      <c r="AZ503" s="98">
        <v>60.4</v>
      </c>
      <c r="BA503" s="98">
        <v>7.1</v>
      </c>
      <c r="BB503" s="98">
        <v>13.4</v>
      </c>
      <c r="BC503" s="98">
        <v>1.9</v>
      </c>
      <c r="BD503" s="98">
        <v>137</v>
      </c>
      <c r="BE503" s="98">
        <v>14</v>
      </c>
      <c r="BF503" s="98">
        <v>27.9</v>
      </c>
      <c r="BG503" s="98">
        <v>3.9</v>
      </c>
      <c r="BI503" s="93">
        <v>7.3</v>
      </c>
      <c r="BJ503" s="98">
        <v>2.7</v>
      </c>
      <c r="BK503" s="98">
        <v>509000</v>
      </c>
      <c r="BL503" s="98">
        <v>53000</v>
      </c>
      <c r="BM503" s="98">
        <v>8760</v>
      </c>
      <c r="BN503" s="98">
        <v>990</v>
      </c>
      <c r="BO503" s="99">
        <v>55.7</v>
      </c>
      <c r="BP503" s="98">
        <v>3.7</v>
      </c>
      <c r="BQ503" s="99">
        <v>89.2</v>
      </c>
      <c r="BR503" s="98">
        <v>6</v>
      </c>
      <c r="CD503" s="3"/>
      <c r="CE503" s="3"/>
      <c r="CF503" s="3"/>
    </row>
    <row r="504" spans="1:90" s="98" customFormat="1">
      <c r="A504" s="3" t="s">
        <v>612</v>
      </c>
      <c r="B504" s="3" t="s">
        <v>268</v>
      </c>
      <c r="C504" s="3"/>
      <c r="D504" s="93">
        <v>7.0220000000000002</v>
      </c>
      <c r="E504" s="94">
        <v>0.29949999999999999</v>
      </c>
      <c r="F504" s="94">
        <v>1.4E-3</v>
      </c>
      <c r="G504" s="95">
        <v>29.37</v>
      </c>
      <c r="H504" s="96">
        <v>0.73</v>
      </c>
      <c r="I504" s="97">
        <v>0.71179999999999999</v>
      </c>
      <c r="J504" s="95">
        <v>1.6E-2</v>
      </c>
      <c r="K504" s="96">
        <v>0.76327999999999996</v>
      </c>
      <c r="M504" s="99">
        <v>3465</v>
      </c>
      <c r="N504" s="98">
        <v>59</v>
      </c>
      <c r="O504" s="99">
        <v>3467.5</v>
      </c>
      <c r="P504" s="98">
        <v>3.1</v>
      </c>
      <c r="Q504" s="98">
        <v>7.0000000000000007E-2</v>
      </c>
      <c r="R504" s="97">
        <v>2.3999999999999998E-3</v>
      </c>
      <c r="T504" s="98">
        <v>250</v>
      </c>
      <c r="U504" s="98">
        <v>310</v>
      </c>
      <c r="V504" s="98">
        <v>0.06</v>
      </c>
      <c r="W504" s="98">
        <v>0.94</v>
      </c>
      <c r="X504" s="98">
        <v>7.0999999999999994E-2</v>
      </c>
      <c r="Y504" s="98">
        <v>9.8000000000000004E-2</v>
      </c>
      <c r="Z504" s="98">
        <v>1.52</v>
      </c>
      <c r="AA504" s="98">
        <v>0.49</v>
      </c>
      <c r="AB504" s="98">
        <v>0.59</v>
      </c>
      <c r="AC504" s="98">
        <v>0.47</v>
      </c>
      <c r="AD504" s="98">
        <v>575</v>
      </c>
      <c r="AE504" s="98">
        <v>42</v>
      </c>
      <c r="AF504" s="95" t="s">
        <v>250</v>
      </c>
      <c r="AG504" s="98" t="s">
        <v>250</v>
      </c>
      <c r="AH504" s="96">
        <v>8.1</v>
      </c>
      <c r="AI504" s="96">
        <v>1</v>
      </c>
      <c r="AJ504" s="95">
        <v>6.0999999999999999E-2</v>
      </c>
      <c r="AK504" s="95">
        <v>0.03</v>
      </c>
      <c r="AL504" s="96">
        <v>1.1299999999999999</v>
      </c>
      <c r="AM504" s="96">
        <v>0.47</v>
      </c>
      <c r="AN504" s="96">
        <v>2.4900000000000002</v>
      </c>
      <c r="AO504" s="96">
        <v>0.53</v>
      </c>
      <c r="AP504" s="96">
        <v>0.62</v>
      </c>
      <c r="AQ504" s="96">
        <v>0.18</v>
      </c>
      <c r="AR504" s="96">
        <v>10.7</v>
      </c>
      <c r="AS504" s="93">
        <v>2.4</v>
      </c>
      <c r="AT504" s="96">
        <v>3.57</v>
      </c>
      <c r="AU504" s="96">
        <v>0.48</v>
      </c>
      <c r="AV504" s="99">
        <v>46.5</v>
      </c>
      <c r="AW504" s="98">
        <v>5.7</v>
      </c>
      <c r="AX504" s="98">
        <v>17.399999999999999</v>
      </c>
      <c r="AY504" s="98">
        <v>1.7</v>
      </c>
      <c r="AZ504" s="98">
        <v>86.1</v>
      </c>
      <c r="BA504" s="98">
        <v>8.4</v>
      </c>
      <c r="BB504" s="98">
        <v>18.2</v>
      </c>
      <c r="BC504" s="98">
        <v>2.5</v>
      </c>
      <c r="BD504" s="98">
        <v>187</v>
      </c>
      <c r="BE504" s="98">
        <v>18</v>
      </c>
      <c r="BF504" s="98">
        <v>42.6</v>
      </c>
      <c r="BG504" s="98">
        <v>5.3</v>
      </c>
      <c r="BI504" s="93">
        <v>6.8</v>
      </c>
      <c r="BJ504" s="98">
        <v>2.4</v>
      </c>
      <c r="BK504" s="98">
        <v>497000</v>
      </c>
      <c r="BL504" s="98">
        <v>38000</v>
      </c>
      <c r="BM504" s="98">
        <v>8630</v>
      </c>
      <c r="BN504" s="98">
        <v>890</v>
      </c>
      <c r="BO504" s="99">
        <v>61.2</v>
      </c>
      <c r="BP504" s="98">
        <v>6</v>
      </c>
      <c r="BQ504" s="99">
        <v>80.400000000000006</v>
      </c>
      <c r="BR504" s="98">
        <v>7.6</v>
      </c>
      <c r="CD504" s="3"/>
      <c r="CE504" s="3"/>
      <c r="CF504" s="3"/>
    </row>
    <row r="505" spans="1:90" s="98" customFormat="1">
      <c r="A505" s="3" t="s">
        <v>614</v>
      </c>
      <c r="B505" s="3" t="s">
        <v>268</v>
      </c>
      <c r="C505" s="3"/>
      <c r="D505" s="93">
        <v>7.0190000000000001</v>
      </c>
      <c r="E505" s="94">
        <v>0.29870000000000002</v>
      </c>
      <c r="F505" s="94">
        <v>1.1999999999999999E-3</v>
      </c>
      <c r="G505" s="95">
        <v>29.1</v>
      </c>
      <c r="H505" s="96">
        <v>0.72</v>
      </c>
      <c r="I505" s="97">
        <v>0.70750000000000002</v>
      </c>
      <c r="J505" s="95">
        <v>1.6E-2</v>
      </c>
      <c r="K505" s="96">
        <v>0.83457000000000003</v>
      </c>
      <c r="M505" s="99">
        <v>3449</v>
      </c>
      <c r="N505" s="98">
        <v>59</v>
      </c>
      <c r="O505" s="99">
        <v>3464.3</v>
      </c>
      <c r="P505" s="98">
        <v>2.2999999999999998</v>
      </c>
      <c r="Q505" s="98">
        <v>0.44</v>
      </c>
      <c r="R505" s="97">
        <v>4.4999999999999997E-3</v>
      </c>
      <c r="T505" s="98">
        <v>290</v>
      </c>
      <c r="U505" s="98">
        <v>150</v>
      </c>
      <c r="V505" s="98">
        <v>1.3</v>
      </c>
      <c r="W505" s="98">
        <v>0.89</v>
      </c>
      <c r="X505" s="98" t="s">
        <v>250</v>
      </c>
      <c r="Y505" s="98" t="s">
        <v>250</v>
      </c>
      <c r="Z505" s="98">
        <v>1.96</v>
      </c>
      <c r="AA505" s="98">
        <v>0.56000000000000005</v>
      </c>
      <c r="AB505" s="98">
        <v>0.71</v>
      </c>
      <c r="AC505" s="98">
        <v>0.25</v>
      </c>
      <c r="AD505" s="98">
        <v>527</v>
      </c>
      <c r="AE505" s="98">
        <v>42</v>
      </c>
      <c r="AF505" s="95">
        <v>4.1999999999999997E-3</v>
      </c>
      <c r="AG505" s="98">
        <v>6.4000000000000003E-3</v>
      </c>
      <c r="AH505" s="96">
        <v>11.2</v>
      </c>
      <c r="AI505" s="96">
        <v>1.7</v>
      </c>
      <c r="AJ505" s="95">
        <v>3.9E-2</v>
      </c>
      <c r="AK505" s="95">
        <v>2.4E-2</v>
      </c>
      <c r="AL505" s="96">
        <v>0.83</v>
      </c>
      <c r="AM505" s="96">
        <v>0.46</v>
      </c>
      <c r="AN505" s="96">
        <v>1.66</v>
      </c>
      <c r="AO505" s="96">
        <v>0.56999999999999995</v>
      </c>
      <c r="AP505" s="96">
        <v>0.59</v>
      </c>
      <c r="AQ505" s="96">
        <v>0.16</v>
      </c>
      <c r="AR505" s="96">
        <v>7.8</v>
      </c>
      <c r="AS505" s="93">
        <v>1.9</v>
      </c>
      <c r="AT505" s="96">
        <v>2.97</v>
      </c>
      <c r="AU505" s="96">
        <v>0.55000000000000004</v>
      </c>
      <c r="AV505" s="99">
        <v>36.799999999999997</v>
      </c>
      <c r="AW505" s="98">
        <v>4.3</v>
      </c>
      <c r="AX505" s="98">
        <v>16</v>
      </c>
      <c r="AY505" s="98">
        <v>2</v>
      </c>
      <c r="AZ505" s="98">
        <v>81.5</v>
      </c>
      <c r="BA505" s="98">
        <v>8.4</v>
      </c>
      <c r="BB505" s="98">
        <v>18</v>
      </c>
      <c r="BC505" s="98">
        <v>2.1</v>
      </c>
      <c r="BD505" s="98">
        <v>187</v>
      </c>
      <c r="BE505" s="98">
        <v>22</v>
      </c>
      <c r="BF505" s="98">
        <v>42.8</v>
      </c>
      <c r="BG505" s="98">
        <v>6</v>
      </c>
      <c r="BI505" s="93">
        <v>8.9</v>
      </c>
      <c r="BJ505" s="98">
        <v>2.2999999999999998</v>
      </c>
      <c r="BK505" s="98">
        <v>546000</v>
      </c>
      <c r="BL505" s="98">
        <v>40000</v>
      </c>
      <c r="BM505" s="98">
        <v>8800</v>
      </c>
      <c r="BN505" s="98">
        <v>1000</v>
      </c>
      <c r="BO505" s="99">
        <v>75.2</v>
      </c>
      <c r="BP505" s="98">
        <v>4.2</v>
      </c>
      <c r="BQ505" s="99">
        <v>119.4</v>
      </c>
      <c r="BR505" s="98">
        <v>7.2</v>
      </c>
      <c r="CD505" s="3"/>
      <c r="CE505" s="3"/>
      <c r="CF505" s="3"/>
      <c r="CL505" s="135"/>
    </row>
    <row r="506" spans="1:90" s="98" customFormat="1">
      <c r="A506" s="3" t="s">
        <v>615</v>
      </c>
      <c r="B506" s="3" t="s">
        <v>268</v>
      </c>
      <c r="C506" s="3"/>
      <c r="D506" s="93">
        <v>7.01</v>
      </c>
      <c r="E506" s="94">
        <v>0.29880000000000001</v>
      </c>
      <c r="F506" s="94">
        <v>1.6000000000000001E-3</v>
      </c>
      <c r="G506" s="95">
        <v>29.11</v>
      </c>
      <c r="H506" s="96">
        <v>0.74</v>
      </c>
      <c r="I506" s="97">
        <v>0.70779999999999998</v>
      </c>
      <c r="J506" s="95">
        <v>1.6E-2</v>
      </c>
      <c r="K506" s="96">
        <v>0.77197000000000005</v>
      </c>
      <c r="M506" s="99">
        <v>3450</v>
      </c>
      <c r="N506" s="98">
        <v>59</v>
      </c>
      <c r="O506" s="99">
        <v>3463.8</v>
      </c>
      <c r="P506" s="98">
        <v>2.9</v>
      </c>
      <c r="Q506" s="98">
        <v>0.4</v>
      </c>
      <c r="R506" s="97">
        <v>4.4999999999999997E-3</v>
      </c>
      <c r="T506" s="98" t="s">
        <v>250</v>
      </c>
      <c r="U506" s="98" t="s">
        <v>250</v>
      </c>
      <c r="V506" s="98" t="s">
        <v>250</v>
      </c>
      <c r="W506" s="98" t="s">
        <v>250</v>
      </c>
      <c r="X506" s="98">
        <v>0.09</v>
      </c>
      <c r="Y506" s="98">
        <v>0.12</v>
      </c>
      <c r="Z506" s="98">
        <v>1.64</v>
      </c>
      <c r="AA506" s="98">
        <v>0.2</v>
      </c>
      <c r="AB506" s="98">
        <v>0.74</v>
      </c>
      <c r="AC506" s="98">
        <v>0.26</v>
      </c>
      <c r="AD506" s="98">
        <v>468</v>
      </c>
      <c r="AE506" s="98">
        <v>46</v>
      </c>
      <c r="AF506" s="95">
        <v>6.1000000000000004E-3</v>
      </c>
      <c r="AG506" s="98">
        <v>7.1000000000000004E-3</v>
      </c>
      <c r="AH506" s="96">
        <v>8.6</v>
      </c>
      <c r="AI506" s="96">
        <v>1</v>
      </c>
      <c r="AJ506" s="95">
        <v>2.5000000000000001E-2</v>
      </c>
      <c r="AK506" s="95">
        <v>2.1999999999999999E-2</v>
      </c>
      <c r="AL506" s="96">
        <v>0.45</v>
      </c>
      <c r="AM506" s="96">
        <v>0.38</v>
      </c>
      <c r="AN506" s="96">
        <v>1.06</v>
      </c>
      <c r="AO506" s="96">
        <v>0.37</v>
      </c>
      <c r="AP506" s="96">
        <v>0.52</v>
      </c>
      <c r="AQ506" s="96">
        <v>0.18</v>
      </c>
      <c r="AR506" s="96">
        <v>8.4</v>
      </c>
      <c r="AS506" s="93">
        <v>2.4</v>
      </c>
      <c r="AT506" s="96">
        <v>2.94</v>
      </c>
      <c r="AU506" s="96">
        <v>0.61</v>
      </c>
      <c r="AV506" s="99">
        <v>36.299999999999997</v>
      </c>
      <c r="AW506" s="98">
        <v>6.9</v>
      </c>
      <c r="AX506" s="98">
        <v>13.9</v>
      </c>
      <c r="AY506" s="98">
        <v>1.2</v>
      </c>
      <c r="AZ506" s="98">
        <v>81.2</v>
      </c>
      <c r="BA506" s="98">
        <v>7</v>
      </c>
      <c r="BB506" s="98">
        <v>19.100000000000001</v>
      </c>
      <c r="BC506" s="98">
        <v>1.5</v>
      </c>
      <c r="BD506" s="98">
        <v>195</v>
      </c>
      <c r="BE506" s="98">
        <v>19</v>
      </c>
      <c r="BF506" s="98">
        <v>45.6</v>
      </c>
      <c r="BG506" s="98">
        <v>4.4000000000000004</v>
      </c>
      <c r="BI506" s="93">
        <v>7.3</v>
      </c>
      <c r="BJ506" s="98">
        <v>3.8</v>
      </c>
      <c r="BK506" s="98">
        <v>575000</v>
      </c>
      <c r="BL506" s="98">
        <v>41000</v>
      </c>
      <c r="BM506" s="98">
        <v>9600</v>
      </c>
      <c r="BN506" s="98">
        <v>1100</v>
      </c>
      <c r="BO506" s="99">
        <v>56.7</v>
      </c>
      <c r="BP506" s="98">
        <v>4</v>
      </c>
      <c r="BQ506" s="99">
        <v>94</v>
      </c>
      <c r="BR506" s="98">
        <v>6.5</v>
      </c>
      <c r="CD506" s="3"/>
      <c r="CE506" s="3"/>
      <c r="CF506" s="3"/>
      <c r="CL506" s="135"/>
    </row>
    <row r="507" spans="1:90" s="98" customFormat="1">
      <c r="A507" s="3" t="s">
        <v>616</v>
      </c>
      <c r="B507" s="3" t="s">
        <v>268</v>
      </c>
      <c r="C507" s="3"/>
      <c r="D507" s="93">
        <v>7.0369999999999999</v>
      </c>
      <c r="E507" s="94">
        <v>0.2999</v>
      </c>
      <c r="F507" s="94">
        <v>1.2999999999999999E-3</v>
      </c>
      <c r="G507" s="95">
        <v>28.9</v>
      </c>
      <c r="H507" s="96">
        <v>0.71</v>
      </c>
      <c r="I507" s="97">
        <v>0.70020000000000004</v>
      </c>
      <c r="J507" s="95">
        <v>1.4999999999999999E-2</v>
      </c>
      <c r="K507" s="96">
        <v>0.67166000000000003</v>
      </c>
      <c r="M507" s="99">
        <v>3421.3</v>
      </c>
      <c r="N507" s="98">
        <v>57</v>
      </c>
      <c r="O507" s="99">
        <v>3469.8</v>
      </c>
      <c r="P507" s="98">
        <v>2.8</v>
      </c>
      <c r="Q507" s="98">
        <v>1.4</v>
      </c>
      <c r="R507" s="97">
        <v>1.0200000000000001E-2</v>
      </c>
      <c r="T507" s="98">
        <v>130</v>
      </c>
      <c r="U507" s="98">
        <v>120</v>
      </c>
      <c r="V507" s="98">
        <v>0.4</v>
      </c>
      <c r="W507" s="98">
        <v>1.1000000000000001</v>
      </c>
      <c r="X507" s="98" t="s">
        <v>250</v>
      </c>
      <c r="Y507" s="98" t="s">
        <v>250</v>
      </c>
      <c r="Z507" s="98">
        <v>0.87</v>
      </c>
      <c r="AA507" s="98">
        <v>0.43</v>
      </c>
      <c r="AB507" s="98">
        <v>0.44</v>
      </c>
      <c r="AC507" s="98">
        <v>0.3</v>
      </c>
      <c r="AD507" s="98">
        <v>668</v>
      </c>
      <c r="AE507" s="98">
        <v>71</v>
      </c>
      <c r="AF507" s="95">
        <v>9.5999999999999992E-3</v>
      </c>
      <c r="AG507" s="98">
        <v>8.8000000000000005E-3</v>
      </c>
      <c r="AH507" s="96">
        <v>9.1999999999999993</v>
      </c>
      <c r="AI507" s="96">
        <v>1.8</v>
      </c>
      <c r="AJ507" s="95">
        <v>6.6000000000000003E-2</v>
      </c>
      <c r="AK507" s="95">
        <v>2.1999999999999999E-2</v>
      </c>
      <c r="AL507" s="96">
        <v>1.67</v>
      </c>
      <c r="AM507" s="96">
        <v>0.64</v>
      </c>
      <c r="AN507" s="96">
        <v>2.65</v>
      </c>
      <c r="AO507" s="96">
        <v>0.79</v>
      </c>
      <c r="AP507" s="96">
        <v>0.7</v>
      </c>
      <c r="AQ507" s="96">
        <v>0.31</v>
      </c>
      <c r="AR507" s="96">
        <v>14.2</v>
      </c>
      <c r="AS507" s="93">
        <v>4.0999999999999996</v>
      </c>
      <c r="AT507" s="96">
        <v>4.62</v>
      </c>
      <c r="AU507" s="96">
        <v>0.96</v>
      </c>
      <c r="AV507" s="99">
        <v>54.5</v>
      </c>
      <c r="AW507" s="98">
        <v>5.3</v>
      </c>
      <c r="AX507" s="98">
        <v>22.2</v>
      </c>
      <c r="AY507" s="98">
        <v>2.8</v>
      </c>
      <c r="AZ507" s="98">
        <v>111</v>
      </c>
      <c r="BA507" s="98">
        <v>12</v>
      </c>
      <c r="BB507" s="98">
        <v>23.2</v>
      </c>
      <c r="BC507" s="98">
        <v>2.2000000000000002</v>
      </c>
      <c r="BD507" s="98">
        <v>233</v>
      </c>
      <c r="BE507" s="98">
        <v>27</v>
      </c>
      <c r="BF507" s="98">
        <v>51.6</v>
      </c>
      <c r="BG507" s="98">
        <v>5.3</v>
      </c>
      <c r="BI507" s="93">
        <v>7.3</v>
      </c>
      <c r="BJ507" s="98">
        <v>2.2000000000000002</v>
      </c>
      <c r="BK507" s="98">
        <v>559000</v>
      </c>
      <c r="BL507" s="98">
        <v>51000</v>
      </c>
      <c r="BM507" s="98">
        <v>10300</v>
      </c>
      <c r="BN507" s="98">
        <v>910</v>
      </c>
      <c r="BO507" s="99">
        <v>78.400000000000006</v>
      </c>
      <c r="BP507" s="98">
        <v>6.3</v>
      </c>
      <c r="BQ507" s="99">
        <v>98</v>
      </c>
      <c r="BR507" s="98">
        <v>7.9</v>
      </c>
      <c r="CD507" s="3"/>
      <c r="CE507" s="3"/>
      <c r="CF507" s="3"/>
    </row>
    <row r="508" spans="1:90" s="98" customFormat="1">
      <c r="A508" s="3" t="s">
        <v>617</v>
      </c>
      <c r="B508" s="3" t="s">
        <v>268</v>
      </c>
      <c r="C508" s="3"/>
      <c r="D508" s="93">
        <v>7.0060000000000002</v>
      </c>
      <c r="E508" s="94">
        <v>0.2989</v>
      </c>
      <c r="F508" s="94">
        <v>1.2999999999999999E-3</v>
      </c>
      <c r="G508" s="95">
        <v>28.88</v>
      </c>
      <c r="H508" s="96">
        <v>0.71</v>
      </c>
      <c r="I508" s="97">
        <v>0.70220000000000005</v>
      </c>
      <c r="J508" s="95">
        <v>1.4999999999999999E-2</v>
      </c>
      <c r="K508" s="96">
        <v>0.70979000000000003</v>
      </c>
      <c r="M508" s="99">
        <v>3428.9</v>
      </c>
      <c r="N508" s="98">
        <v>57</v>
      </c>
      <c r="O508" s="99">
        <v>3464.5</v>
      </c>
      <c r="P508" s="98">
        <v>1.7</v>
      </c>
      <c r="Q508" s="98">
        <v>1.03</v>
      </c>
      <c r="R508" s="97">
        <v>7.3000000000000001E-3</v>
      </c>
      <c r="T508" s="98">
        <v>90</v>
      </c>
      <c r="U508" s="98">
        <v>140</v>
      </c>
      <c r="V508" s="98">
        <v>0.46</v>
      </c>
      <c r="W508" s="98">
        <v>0.86</v>
      </c>
      <c r="X508" s="98">
        <v>0.11</v>
      </c>
      <c r="Y508" s="98">
        <v>0.12</v>
      </c>
      <c r="Z508" s="98">
        <v>1.94</v>
      </c>
      <c r="AA508" s="98">
        <v>0.77</v>
      </c>
      <c r="AB508" s="98">
        <v>0.81</v>
      </c>
      <c r="AC508" s="98">
        <v>0.44</v>
      </c>
      <c r="AD508" s="98">
        <v>701</v>
      </c>
      <c r="AE508" s="98">
        <v>88</v>
      </c>
      <c r="AF508" s="95">
        <v>6.4000000000000003E-3</v>
      </c>
      <c r="AG508" s="98">
        <v>7.4000000000000003E-3</v>
      </c>
      <c r="AH508" s="96">
        <v>12.8</v>
      </c>
      <c r="AI508" s="96">
        <v>1.8</v>
      </c>
      <c r="AJ508" s="95">
        <v>0.06</v>
      </c>
      <c r="AK508" s="95">
        <v>0.02</v>
      </c>
      <c r="AL508" s="96">
        <v>1.25</v>
      </c>
      <c r="AM508" s="96">
        <v>0.64</v>
      </c>
      <c r="AN508" s="96">
        <v>2.14</v>
      </c>
      <c r="AO508" s="96">
        <v>0.69</v>
      </c>
      <c r="AP508" s="96">
        <v>0.5</v>
      </c>
      <c r="AQ508" s="96">
        <v>0.21</v>
      </c>
      <c r="AR508" s="96">
        <v>7.9</v>
      </c>
      <c r="AS508" s="93">
        <v>2.8</v>
      </c>
      <c r="AT508" s="96">
        <v>3.41</v>
      </c>
      <c r="AU508" s="96">
        <v>0.52</v>
      </c>
      <c r="AV508" s="99">
        <v>47.4</v>
      </c>
      <c r="AW508" s="98">
        <v>7.6</v>
      </c>
      <c r="AX508" s="98">
        <v>21.4</v>
      </c>
      <c r="AY508" s="98">
        <v>3.4</v>
      </c>
      <c r="AZ508" s="98">
        <v>118</v>
      </c>
      <c r="BA508" s="98">
        <v>16</v>
      </c>
      <c r="BB508" s="98">
        <v>28.4</v>
      </c>
      <c r="BC508" s="98">
        <v>3.1</v>
      </c>
      <c r="BD508" s="98">
        <v>307</v>
      </c>
      <c r="BE508" s="98">
        <v>38</v>
      </c>
      <c r="BF508" s="98">
        <v>71.7</v>
      </c>
      <c r="BG508" s="98">
        <v>9.4</v>
      </c>
      <c r="BI508" s="93">
        <v>7.4</v>
      </c>
      <c r="BJ508" s="98">
        <v>2.5</v>
      </c>
      <c r="BK508" s="98">
        <v>526000</v>
      </c>
      <c r="BL508" s="98">
        <v>54000</v>
      </c>
      <c r="BM508" s="98">
        <v>9700</v>
      </c>
      <c r="BN508" s="98">
        <v>1200</v>
      </c>
      <c r="BO508" s="99">
        <v>111.5</v>
      </c>
      <c r="BP508" s="98">
        <v>8.9</v>
      </c>
      <c r="BQ508" s="99">
        <v>179</v>
      </c>
      <c r="BR508" s="98">
        <v>14</v>
      </c>
      <c r="CD508" s="3"/>
      <c r="CE508" s="3"/>
      <c r="CF508" s="3"/>
      <c r="CL508" s="135"/>
    </row>
    <row r="509" spans="1:90" s="98" customFormat="1">
      <c r="A509" s="3" t="s">
        <v>618</v>
      </c>
      <c r="B509" s="3" t="s">
        <v>268</v>
      </c>
      <c r="C509" s="3"/>
      <c r="D509" s="93">
        <v>7.1349999999999998</v>
      </c>
      <c r="E509" s="94">
        <v>0.29980000000000001</v>
      </c>
      <c r="F509" s="94">
        <v>1.5E-3</v>
      </c>
      <c r="G509" s="95">
        <v>30.54</v>
      </c>
      <c r="H509" s="96">
        <v>0.78</v>
      </c>
      <c r="I509" s="97">
        <v>0.7389</v>
      </c>
      <c r="J509" s="95">
        <v>1.6E-2</v>
      </c>
      <c r="K509" s="96">
        <v>0.82698000000000005</v>
      </c>
      <c r="M509" s="99">
        <v>3566</v>
      </c>
      <c r="N509" s="98">
        <v>60</v>
      </c>
      <c r="O509" s="99">
        <v>3470.3</v>
      </c>
      <c r="P509" s="98">
        <v>4.7</v>
      </c>
      <c r="Q509" s="98">
        <v>-2.71</v>
      </c>
      <c r="R509" s="97">
        <v>0</v>
      </c>
      <c r="T509" s="98">
        <v>90</v>
      </c>
      <c r="U509" s="98">
        <v>190</v>
      </c>
      <c r="V509" s="98">
        <v>0.7</v>
      </c>
      <c r="W509" s="98">
        <v>1.1000000000000001</v>
      </c>
      <c r="X509" s="98">
        <v>0.28999999999999998</v>
      </c>
      <c r="Y509" s="98">
        <v>0.16</v>
      </c>
      <c r="Z509" s="98">
        <v>1.64</v>
      </c>
      <c r="AA509" s="98">
        <v>0.56999999999999995</v>
      </c>
      <c r="AB509" s="98">
        <v>0.47</v>
      </c>
      <c r="AC509" s="98">
        <v>0.31</v>
      </c>
      <c r="AD509" s="98">
        <v>1004</v>
      </c>
      <c r="AE509" s="98">
        <v>61</v>
      </c>
      <c r="AF509" s="95">
        <v>0.1</v>
      </c>
      <c r="AG509" s="98">
        <v>3.4000000000000002E-2</v>
      </c>
      <c r="AH509" s="96">
        <v>11.1</v>
      </c>
      <c r="AI509" s="96">
        <v>1.8</v>
      </c>
      <c r="AJ509" s="95">
        <v>0.29899999999999999</v>
      </c>
      <c r="AK509" s="95">
        <v>7.0999999999999994E-2</v>
      </c>
      <c r="AL509" s="96">
        <v>3.23</v>
      </c>
      <c r="AM509" s="96">
        <v>0.81</v>
      </c>
      <c r="AN509" s="96">
        <v>5.0999999999999996</v>
      </c>
      <c r="AO509" s="96">
        <v>1.5</v>
      </c>
      <c r="AP509" s="96">
        <v>1.29</v>
      </c>
      <c r="AQ509" s="96">
        <v>0.28999999999999998</v>
      </c>
      <c r="AR509" s="96">
        <v>23.5</v>
      </c>
      <c r="AS509" s="93">
        <v>5.2</v>
      </c>
      <c r="AT509" s="96">
        <v>6.8</v>
      </c>
      <c r="AU509" s="96">
        <v>0.71</v>
      </c>
      <c r="AV509" s="99">
        <v>71.7</v>
      </c>
      <c r="AW509" s="98">
        <v>8.9</v>
      </c>
      <c r="AX509" s="98">
        <v>29.9</v>
      </c>
      <c r="AY509" s="98">
        <v>4.3</v>
      </c>
      <c r="AZ509" s="98">
        <v>148</v>
      </c>
      <c r="BA509" s="98">
        <v>18</v>
      </c>
      <c r="BB509" s="98">
        <v>33.299999999999997</v>
      </c>
      <c r="BC509" s="98">
        <v>4</v>
      </c>
      <c r="BD509" s="98">
        <v>298</v>
      </c>
      <c r="BE509" s="98">
        <v>35</v>
      </c>
      <c r="BF509" s="98">
        <v>73.2</v>
      </c>
      <c r="BG509" s="98">
        <v>7.5</v>
      </c>
      <c r="BI509" s="93">
        <v>4.4000000000000004</v>
      </c>
      <c r="BJ509" s="98">
        <v>2.2999999999999998</v>
      </c>
      <c r="BK509" s="98">
        <v>520000</v>
      </c>
      <c r="BL509" s="98">
        <v>47000</v>
      </c>
      <c r="BM509" s="98">
        <v>8800</v>
      </c>
      <c r="BN509" s="98">
        <v>1000</v>
      </c>
      <c r="BO509" s="99">
        <v>136.69999999999999</v>
      </c>
      <c r="BP509" s="98">
        <v>7.6</v>
      </c>
      <c r="BQ509" s="99">
        <v>146.19999999999999</v>
      </c>
      <c r="BR509" s="98">
        <v>8</v>
      </c>
      <c r="CD509" s="3"/>
      <c r="CE509" s="3"/>
      <c r="CF509" s="3"/>
      <c r="CL509" s="135"/>
    </row>
    <row r="510" spans="1:90" s="98" customFormat="1">
      <c r="A510" s="3" t="s">
        <v>619</v>
      </c>
      <c r="B510" s="3" t="s">
        <v>268</v>
      </c>
      <c r="C510" s="3"/>
      <c r="D510" s="93">
        <v>7.0140000000000002</v>
      </c>
      <c r="E510" s="94">
        <v>0.29830000000000001</v>
      </c>
      <c r="F510" s="94">
        <v>1.2999999999999999E-3</v>
      </c>
      <c r="G510" s="95">
        <v>28.98</v>
      </c>
      <c r="H510" s="96">
        <v>0.71</v>
      </c>
      <c r="I510" s="97">
        <v>0.70620000000000005</v>
      </c>
      <c r="J510" s="95">
        <v>1.4999999999999999E-2</v>
      </c>
      <c r="K510" s="96">
        <v>0.75914999999999999</v>
      </c>
      <c r="M510" s="99">
        <v>3444.1</v>
      </c>
      <c r="N510" s="98">
        <v>57</v>
      </c>
      <c r="O510" s="99">
        <v>3461.7</v>
      </c>
      <c r="P510" s="98">
        <v>2.5</v>
      </c>
      <c r="Q510" s="98">
        <v>0.51</v>
      </c>
      <c r="R510" s="97">
        <v>3.3999999999999998E-3</v>
      </c>
      <c r="T510" s="98">
        <v>240</v>
      </c>
      <c r="U510" s="98">
        <v>180</v>
      </c>
      <c r="V510" s="98" t="s">
        <v>250</v>
      </c>
      <c r="W510" s="98" t="s">
        <v>250</v>
      </c>
      <c r="X510" s="98">
        <v>0.16</v>
      </c>
      <c r="Y510" s="98">
        <v>0.14000000000000001</v>
      </c>
      <c r="Z510" s="98">
        <v>1.92</v>
      </c>
      <c r="AA510" s="98">
        <v>0.7</v>
      </c>
      <c r="AB510" s="98">
        <v>0.27</v>
      </c>
      <c r="AC510" s="98">
        <v>0.2</v>
      </c>
      <c r="AD510" s="98">
        <v>1350</v>
      </c>
      <c r="AE510" s="98">
        <v>140</v>
      </c>
      <c r="AF510" s="95">
        <v>3.6999999999999998E-2</v>
      </c>
      <c r="AG510" s="98">
        <v>1.9E-2</v>
      </c>
      <c r="AH510" s="96">
        <v>12.6</v>
      </c>
      <c r="AI510" s="96">
        <v>1.8</v>
      </c>
      <c r="AJ510" s="95">
        <v>0.26500000000000001</v>
      </c>
      <c r="AK510" s="95">
        <v>6.3E-2</v>
      </c>
      <c r="AL510" s="96">
        <v>4.3</v>
      </c>
      <c r="AM510" s="96">
        <v>1</v>
      </c>
      <c r="AN510" s="96">
        <v>7.5</v>
      </c>
      <c r="AO510" s="96">
        <v>1.6</v>
      </c>
      <c r="AP510" s="96">
        <v>1.88</v>
      </c>
      <c r="AQ510" s="96">
        <v>0.52</v>
      </c>
      <c r="AR510" s="96">
        <v>32.1</v>
      </c>
      <c r="AS510" s="93">
        <v>4.8</v>
      </c>
      <c r="AT510" s="96">
        <v>10.5</v>
      </c>
      <c r="AU510" s="96">
        <v>1.6</v>
      </c>
      <c r="AV510" s="99">
        <v>115</v>
      </c>
      <c r="AW510" s="98">
        <v>16</v>
      </c>
      <c r="AX510" s="98">
        <v>43.5</v>
      </c>
      <c r="AY510" s="98">
        <v>5.4</v>
      </c>
      <c r="AZ510" s="98">
        <v>205</v>
      </c>
      <c r="BA510" s="98">
        <v>25</v>
      </c>
      <c r="BB510" s="98">
        <v>42</v>
      </c>
      <c r="BC510" s="98">
        <v>4.5999999999999996</v>
      </c>
      <c r="BD510" s="98">
        <v>404</v>
      </c>
      <c r="BE510" s="98">
        <v>47</v>
      </c>
      <c r="BF510" s="98">
        <v>82.8</v>
      </c>
      <c r="BG510" s="98">
        <v>9.3000000000000007</v>
      </c>
      <c r="BI510" s="93">
        <v>9.4</v>
      </c>
      <c r="BJ510" s="98">
        <v>1.8</v>
      </c>
      <c r="BK510" s="98">
        <v>564000</v>
      </c>
      <c r="BL510" s="98">
        <v>45000</v>
      </c>
      <c r="BM510" s="98">
        <v>9910</v>
      </c>
      <c r="BN510" s="98">
        <v>860</v>
      </c>
      <c r="BO510" s="99">
        <v>148</v>
      </c>
      <c r="BP510" s="98">
        <v>9.1999999999999993</v>
      </c>
      <c r="BQ510" s="99">
        <v>142.1</v>
      </c>
      <c r="BR510" s="98">
        <v>9</v>
      </c>
      <c r="CD510" s="3"/>
      <c r="CE510" s="3"/>
      <c r="CF510" s="3"/>
    </row>
    <row r="511" spans="1:90" s="98" customFormat="1">
      <c r="A511" s="3" t="s">
        <v>620</v>
      </c>
      <c r="B511" s="3" t="s">
        <v>268</v>
      </c>
      <c r="C511" s="3"/>
      <c r="D511" s="93">
        <v>7.0110000000000001</v>
      </c>
      <c r="E511" s="94">
        <v>0.29899999999999999</v>
      </c>
      <c r="F511" s="94">
        <v>1.1999999999999999E-3</v>
      </c>
      <c r="G511" s="95">
        <v>29.22</v>
      </c>
      <c r="H511" s="96">
        <v>0.71</v>
      </c>
      <c r="I511" s="97">
        <v>0.71030000000000004</v>
      </c>
      <c r="J511" s="95">
        <v>1.4999999999999999E-2</v>
      </c>
      <c r="K511" s="96">
        <v>0.66840999999999995</v>
      </c>
      <c r="M511" s="99">
        <v>3459.5</v>
      </c>
      <c r="N511" s="98">
        <v>58</v>
      </c>
      <c r="O511" s="99">
        <v>3464.8</v>
      </c>
      <c r="P511" s="98">
        <v>2.8</v>
      </c>
      <c r="Q511" s="98">
        <v>0.2</v>
      </c>
      <c r="R511" s="97">
        <v>1.1000000000000001E-3</v>
      </c>
      <c r="T511" s="98">
        <v>220</v>
      </c>
      <c r="U511" s="98">
        <v>190</v>
      </c>
      <c r="V511" s="98" t="s">
        <v>250</v>
      </c>
      <c r="W511" s="98" t="s">
        <v>250</v>
      </c>
      <c r="X511" s="98">
        <v>0.22</v>
      </c>
      <c r="Y511" s="98">
        <v>0.16</v>
      </c>
      <c r="Z511" s="98">
        <v>1.89</v>
      </c>
      <c r="AA511" s="98">
        <v>0.53</v>
      </c>
      <c r="AB511" s="98">
        <v>0.81</v>
      </c>
      <c r="AC511" s="98">
        <v>0.52</v>
      </c>
      <c r="AD511" s="98">
        <v>773</v>
      </c>
      <c r="AE511" s="98">
        <v>82</v>
      </c>
      <c r="AF511" s="95">
        <v>6.4999999999999997E-3</v>
      </c>
      <c r="AG511" s="98">
        <v>7.4999999999999997E-3</v>
      </c>
      <c r="AH511" s="96">
        <v>13.7</v>
      </c>
      <c r="AI511" s="96">
        <v>2.2999999999999998</v>
      </c>
      <c r="AJ511" s="95">
        <v>9.6000000000000002E-2</v>
      </c>
      <c r="AK511" s="95">
        <v>3.3000000000000002E-2</v>
      </c>
      <c r="AL511" s="96">
        <v>1.08</v>
      </c>
      <c r="AM511" s="96">
        <v>0.33</v>
      </c>
      <c r="AN511" s="96">
        <v>2.5299999999999998</v>
      </c>
      <c r="AO511" s="96">
        <v>0.69</v>
      </c>
      <c r="AP511" s="96">
        <v>0.73</v>
      </c>
      <c r="AQ511" s="96">
        <v>0.28999999999999998</v>
      </c>
      <c r="AR511" s="96">
        <v>17</v>
      </c>
      <c r="AS511" s="93">
        <v>4</v>
      </c>
      <c r="AT511" s="96">
        <v>4.78</v>
      </c>
      <c r="AU511" s="96">
        <v>0.81</v>
      </c>
      <c r="AV511" s="99">
        <v>58</v>
      </c>
      <c r="AW511" s="98">
        <v>7.4</v>
      </c>
      <c r="AX511" s="98">
        <v>24</v>
      </c>
      <c r="AY511" s="98">
        <v>3</v>
      </c>
      <c r="AZ511" s="98">
        <v>121</v>
      </c>
      <c r="BA511" s="98">
        <v>15</v>
      </c>
      <c r="BB511" s="98">
        <v>27.7</v>
      </c>
      <c r="BC511" s="98">
        <v>4</v>
      </c>
      <c r="BD511" s="98">
        <v>254</v>
      </c>
      <c r="BE511" s="98">
        <v>43</v>
      </c>
      <c r="BF511" s="98">
        <v>58.7</v>
      </c>
      <c r="BG511" s="98">
        <v>9.1</v>
      </c>
      <c r="BI511" s="93">
        <v>10.1</v>
      </c>
      <c r="BJ511" s="98">
        <v>4.5</v>
      </c>
      <c r="BK511" s="98">
        <v>585000</v>
      </c>
      <c r="BL511" s="98">
        <v>69000</v>
      </c>
      <c r="BM511" s="98">
        <v>9600</v>
      </c>
      <c r="BN511" s="98">
        <v>1400</v>
      </c>
      <c r="BO511" s="99">
        <v>89.4</v>
      </c>
      <c r="BP511" s="98">
        <v>9</v>
      </c>
      <c r="BQ511" s="99">
        <v>139</v>
      </c>
      <c r="BR511" s="98">
        <v>15</v>
      </c>
      <c r="CD511" s="3"/>
      <c r="CE511" s="3"/>
      <c r="CF511" s="3"/>
      <c r="CL511" s="135"/>
    </row>
    <row r="512" spans="1:90" s="98" customFormat="1">
      <c r="A512" s="3" t="s">
        <v>621</v>
      </c>
      <c r="B512" s="3" t="s">
        <v>268</v>
      </c>
      <c r="C512" s="3"/>
      <c r="D512" s="93">
        <v>7.0119999999999996</v>
      </c>
      <c r="E512" s="94">
        <v>0.2984</v>
      </c>
      <c r="F512" s="94">
        <v>1.4E-3</v>
      </c>
      <c r="G512" s="95">
        <v>29.24</v>
      </c>
      <c r="H512" s="96">
        <v>0.72</v>
      </c>
      <c r="I512" s="97">
        <v>0.71230000000000004</v>
      </c>
      <c r="J512" s="95">
        <v>1.4999999999999999E-2</v>
      </c>
      <c r="K512" s="96">
        <v>0.59302999999999995</v>
      </c>
      <c r="M512" s="99">
        <v>3467</v>
      </c>
      <c r="N512" s="98">
        <v>58</v>
      </c>
      <c r="O512" s="99">
        <v>3463.3</v>
      </c>
      <c r="P512" s="98">
        <v>3.8</v>
      </c>
      <c r="Q512" s="98">
        <v>-0.11</v>
      </c>
      <c r="R512" s="97">
        <v>8.0000000000000004E-4</v>
      </c>
      <c r="T512" s="98">
        <v>250</v>
      </c>
      <c r="U512" s="98">
        <v>160</v>
      </c>
      <c r="V512" s="98">
        <v>0.4</v>
      </c>
      <c r="W512" s="98">
        <v>1.1000000000000001</v>
      </c>
      <c r="X512" s="98">
        <v>0.2</v>
      </c>
      <c r="Y512" s="98">
        <v>0.15</v>
      </c>
      <c r="Z512" s="98">
        <v>1.38</v>
      </c>
      <c r="AA512" s="98">
        <v>0.49</v>
      </c>
      <c r="AB512" s="98">
        <v>0.48</v>
      </c>
      <c r="AC512" s="98">
        <v>0.28000000000000003</v>
      </c>
      <c r="AD512" s="98">
        <v>656</v>
      </c>
      <c r="AE512" s="98">
        <v>62</v>
      </c>
      <c r="AF512" s="95">
        <v>0.02</v>
      </c>
      <c r="AG512" s="98">
        <v>1.4999999999999999E-2</v>
      </c>
      <c r="AH512" s="96">
        <v>10.36</v>
      </c>
      <c r="AI512" s="96">
        <v>0.89</v>
      </c>
      <c r="AJ512" s="95">
        <v>0.106</v>
      </c>
      <c r="AK512" s="95">
        <v>4.2000000000000003E-2</v>
      </c>
      <c r="AL512" s="96">
        <v>1.38</v>
      </c>
      <c r="AM512" s="96">
        <v>0.57999999999999996</v>
      </c>
      <c r="AN512" s="96">
        <v>2.54</v>
      </c>
      <c r="AO512" s="96">
        <v>0.85</v>
      </c>
      <c r="AP512" s="96">
        <v>0.42</v>
      </c>
      <c r="AQ512" s="96">
        <v>0.12</v>
      </c>
      <c r="AR512" s="96">
        <v>7.8</v>
      </c>
      <c r="AS512" s="93">
        <v>1.5</v>
      </c>
      <c r="AT512" s="96">
        <v>3.92</v>
      </c>
      <c r="AU512" s="96">
        <v>0.86</v>
      </c>
      <c r="AV512" s="99">
        <v>49.3</v>
      </c>
      <c r="AW512" s="98">
        <v>6.9</v>
      </c>
      <c r="AX512" s="98">
        <v>19.7</v>
      </c>
      <c r="AY512" s="98">
        <v>2.8</v>
      </c>
      <c r="AZ512" s="98">
        <v>112</v>
      </c>
      <c r="BA512" s="98">
        <v>12</v>
      </c>
      <c r="BB512" s="98">
        <v>24.8</v>
      </c>
      <c r="BC512" s="98">
        <v>3.2</v>
      </c>
      <c r="BD512" s="98">
        <v>252</v>
      </c>
      <c r="BE512" s="98">
        <v>31</v>
      </c>
      <c r="BF512" s="98">
        <v>58</v>
      </c>
      <c r="BG512" s="98">
        <v>5.3</v>
      </c>
      <c r="BI512" s="93">
        <v>5.2</v>
      </c>
      <c r="BJ512" s="98">
        <v>2.5</v>
      </c>
      <c r="BK512" s="98">
        <v>551000</v>
      </c>
      <c r="BL512" s="98">
        <v>48000</v>
      </c>
      <c r="BM512" s="98">
        <v>9600</v>
      </c>
      <c r="BN512" s="98">
        <v>1100</v>
      </c>
      <c r="BO512" s="99">
        <v>80.8</v>
      </c>
      <c r="BP512" s="98">
        <v>8.1999999999999993</v>
      </c>
      <c r="BQ512" s="99">
        <v>119</v>
      </c>
      <c r="BR512" s="98">
        <v>11</v>
      </c>
      <c r="CD512" s="3"/>
      <c r="CE512" s="3"/>
      <c r="CF512" s="3"/>
      <c r="CL512" s="135"/>
    </row>
    <row r="513" spans="1:90" s="98" customFormat="1">
      <c r="A513" s="3" t="s">
        <v>622</v>
      </c>
      <c r="B513" s="3" t="s">
        <v>268</v>
      </c>
      <c r="C513" s="3"/>
      <c r="D513" s="93">
        <v>7.0110000000000001</v>
      </c>
      <c r="E513" s="94">
        <v>0.29959999999999998</v>
      </c>
      <c r="F513" s="94">
        <v>1.6999999999999999E-3</v>
      </c>
      <c r="G513" s="95">
        <v>28.89</v>
      </c>
      <c r="H513" s="96">
        <v>0.71</v>
      </c>
      <c r="I513" s="97">
        <v>0.70079999999999998</v>
      </c>
      <c r="J513" s="95">
        <v>1.4999999999999999E-2</v>
      </c>
      <c r="K513" s="96">
        <v>0.51449999999999996</v>
      </c>
      <c r="M513" s="99">
        <v>3423.8</v>
      </c>
      <c r="N513" s="98">
        <v>57</v>
      </c>
      <c r="O513" s="99">
        <v>3468.3</v>
      </c>
      <c r="P513" s="98">
        <v>3.7</v>
      </c>
      <c r="Q513" s="98">
        <v>1.28</v>
      </c>
      <c r="R513" s="97">
        <v>9.1000000000000004E-3</v>
      </c>
      <c r="T513" s="98">
        <v>150</v>
      </c>
      <c r="U513" s="98">
        <v>120</v>
      </c>
      <c r="V513" s="98" t="s">
        <v>250</v>
      </c>
      <c r="W513" s="98" t="s">
        <v>250</v>
      </c>
      <c r="X513" s="98">
        <v>0.44</v>
      </c>
      <c r="Y513" s="98">
        <v>0.23</v>
      </c>
      <c r="Z513" s="98">
        <v>1.06</v>
      </c>
      <c r="AA513" s="98">
        <v>0.53</v>
      </c>
      <c r="AB513" s="98">
        <v>0.5</v>
      </c>
      <c r="AC513" s="98">
        <v>0.28999999999999998</v>
      </c>
      <c r="AD513" s="98">
        <v>479</v>
      </c>
      <c r="AE513" s="98">
        <v>52</v>
      </c>
      <c r="AF513" s="95">
        <v>9.4000000000000004E-3</v>
      </c>
      <c r="AG513" s="98">
        <v>8.8999999999999999E-3</v>
      </c>
      <c r="AH513" s="96">
        <v>8.6</v>
      </c>
      <c r="AI513" s="96">
        <v>1.4</v>
      </c>
      <c r="AJ513" s="95">
        <v>6.2E-2</v>
      </c>
      <c r="AK513" s="95">
        <v>2.9000000000000001E-2</v>
      </c>
      <c r="AL513" s="96">
        <v>0.87</v>
      </c>
      <c r="AM513" s="96">
        <v>0.43</v>
      </c>
      <c r="AN513" s="96">
        <v>1.54</v>
      </c>
      <c r="AO513" s="96">
        <v>0.53</v>
      </c>
      <c r="AP513" s="96">
        <v>0.48</v>
      </c>
      <c r="AQ513" s="96">
        <v>0.13</v>
      </c>
      <c r="AR513" s="96">
        <v>6.3</v>
      </c>
      <c r="AS513" s="93">
        <v>1.7</v>
      </c>
      <c r="AT513" s="96">
        <v>2.64</v>
      </c>
      <c r="AU513" s="96">
        <v>0.52</v>
      </c>
      <c r="AV513" s="99">
        <v>33.5</v>
      </c>
      <c r="AW513" s="98">
        <v>4.0999999999999996</v>
      </c>
      <c r="AX513" s="98">
        <v>15.7</v>
      </c>
      <c r="AY513" s="98">
        <v>2.2000000000000002</v>
      </c>
      <c r="AZ513" s="98">
        <v>85</v>
      </c>
      <c r="BA513" s="98">
        <v>13</v>
      </c>
      <c r="BB513" s="98">
        <v>20.5</v>
      </c>
      <c r="BC513" s="98">
        <v>2.9</v>
      </c>
      <c r="BD513" s="98">
        <v>219</v>
      </c>
      <c r="BE513" s="98">
        <v>35</v>
      </c>
      <c r="BF513" s="98">
        <v>47.1</v>
      </c>
      <c r="BG513" s="98">
        <v>7.2</v>
      </c>
      <c r="BI513" s="93">
        <v>6.1</v>
      </c>
      <c r="BJ513" s="98">
        <v>2.5</v>
      </c>
      <c r="BK513" s="98">
        <v>597000</v>
      </c>
      <c r="BL513" s="98">
        <v>60000</v>
      </c>
      <c r="BM513" s="98">
        <v>11100</v>
      </c>
      <c r="BN513" s="98">
        <v>1500</v>
      </c>
      <c r="BO513" s="99">
        <v>67</v>
      </c>
      <c r="BP513" s="98">
        <v>6.4</v>
      </c>
      <c r="BQ513" s="99">
        <v>110</v>
      </c>
      <c r="BR513" s="98">
        <v>10</v>
      </c>
      <c r="CD513" s="3"/>
      <c r="CE513" s="3"/>
      <c r="CF513" s="3"/>
      <c r="CL513" s="135"/>
    </row>
    <row r="514" spans="1:90" s="98" customFormat="1">
      <c r="A514" s="3" t="s">
        <v>623</v>
      </c>
      <c r="B514" s="3" t="s">
        <v>268</v>
      </c>
      <c r="C514" s="3"/>
      <c r="D514" s="93">
        <v>7.0510000000000002</v>
      </c>
      <c r="E514" s="94">
        <v>0.29909999999999998</v>
      </c>
      <c r="F514" s="94">
        <v>1.4E-3</v>
      </c>
      <c r="G514" s="95">
        <v>29.2</v>
      </c>
      <c r="H514" s="96">
        <v>0.72</v>
      </c>
      <c r="I514" s="97">
        <v>0.70920000000000005</v>
      </c>
      <c r="J514" s="95">
        <v>1.4999999999999999E-2</v>
      </c>
      <c r="K514" s="96">
        <v>0.65934000000000004</v>
      </c>
      <c r="M514" s="99">
        <v>3455.6</v>
      </c>
      <c r="N514" s="98">
        <v>58</v>
      </c>
      <c r="O514" s="99">
        <v>3464.7</v>
      </c>
      <c r="P514" s="98">
        <v>2.6</v>
      </c>
      <c r="Q514" s="98">
        <v>0.26</v>
      </c>
      <c r="R514" s="97">
        <v>2.3999999999999998E-3</v>
      </c>
      <c r="T514" s="98">
        <v>89</v>
      </c>
      <c r="U514" s="98">
        <v>81</v>
      </c>
      <c r="V514" s="98" t="s">
        <v>250</v>
      </c>
      <c r="W514" s="98" t="s">
        <v>250</v>
      </c>
      <c r="X514" s="98">
        <v>0.43</v>
      </c>
      <c r="Y514" s="98">
        <v>0.37</v>
      </c>
      <c r="Z514" s="98">
        <v>1.04</v>
      </c>
      <c r="AA514" s="98">
        <v>0.42</v>
      </c>
      <c r="AB514" s="98">
        <v>0.5</v>
      </c>
      <c r="AC514" s="98">
        <v>0.26</v>
      </c>
      <c r="AD514" s="98">
        <v>1020</v>
      </c>
      <c r="AE514" s="98">
        <v>100</v>
      </c>
      <c r="AF514" s="95">
        <v>1.7999999999999999E-2</v>
      </c>
      <c r="AG514" s="98">
        <v>1.4999999999999999E-2</v>
      </c>
      <c r="AH514" s="96">
        <v>13.8</v>
      </c>
      <c r="AI514" s="96">
        <v>2</v>
      </c>
      <c r="AJ514" s="95">
        <v>0.246</v>
      </c>
      <c r="AK514" s="95">
        <v>4.2999999999999997E-2</v>
      </c>
      <c r="AL514" s="96">
        <v>3.3</v>
      </c>
      <c r="AM514" s="96">
        <v>1.2</v>
      </c>
      <c r="AN514" s="96">
        <v>6.2</v>
      </c>
      <c r="AO514" s="96">
        <v>1.6</v>
      </c>
      <c r="AP514" s="96">
        <v>1.23</v>
      </c>
      <c r="AQ514" s="96">
        <v>0.44</v>
      </c>
      <c r="AR514" s="96">
        <v>19.899999999999999</v>
      </c>
      <c r="AS514" s="93">
        <v>3.9</v>
      </c>
      <c r="AT514" s="96">
        <v>6.79</v>
      </c>
      <c r="AU514" s="96">
        <v>0.76</v>
      </c>
      <c r="AV514" s="99">
        <v>84</v>
      </c>
      <c r="AW514" s="98">
        <v>11</v>
      </c>
      <c r="AX514" s="98">
        <v>33</v>
      </c>
      <c r="AY514" s="98">
        <v>3.7</v>
      </c>
      <c r="AZ514" s="98">
        <v>172</v>
      </c>
      <c r="BA514" s="98">
        <v>14</v>
      </c>
      <c r="BB514" s="98">
        <v>38.299999999999997</v>
      </c>
      <c r="BC514" s="98">
        <v>3.4</v>
      </c>
      <c r="BD514" s="98">
        <v>364</v>
      </c>
      <c r="BE514" s="98">
        <v>34</v>
      </c>
      <c r="BF514" s="98">
        <v>79.099999999999994</v>
      </c>
      <c r="BG514" s="98">
        <v>6</v>
      </c>
      <c r="BI514" s="93">
        <v>5.5</v>
      </c>
      <c r="BJ514" s="98">
        <v>2.5</v>
      </c>
      <c r="BK514" s="98">
        <v>562000</v>
      </c>
      <c r="BL514" s="98">
        <v>62000</v>
      </c>
      <c r="BM514" s="98">
        <v>10140</v>
      </c>
      <c r="BN514" s="98">
        <v>840</v>
      </c>
      <c r="BO514" s="99">
        <v>160</v>
      </c>
      <c r="BP514" s="98">
        <v>18</v>
      </c>
      <c r="BQ514" s="99">
        <v>170</v>
      </c>
      <c r="BR514" s="98">
        <v>18</v>
      </c>
      <c r="CD514" s="3"/>
      <c r="CE514" s="3"/>
      <c r="CF514" s="3"/>
    </row>
    <row r="515" spans="1:90" s="98" customFormat="1">
      <c r="A515" s="3" t="s">
        <v>624</v>
      </c>
      <c r="B515" s="3" t="s">
        <v>268</v>
      </c>
      <c r="C515" s="3"/>
      <c r="D515" s="93">
        <v>7.0229999999999997</v>
      </c>
      <c r="E515" s="94">
        <v>0.2994</v>
      </c>
      <c r="F515" s="94">
        <v>1.4E-3</v>
      </c>
      <c r="G515" s="95">
        <v>29.13</v>
      </c>
      <c r="H515" s="96">
        <v>0.71</v>
      </c>
      <c r="I515" s="97">
        <v>0.70679999999999998</v>
      </c>
      <c r="J515" s="95">
        <v>1.4999999999999999E-2</v>
      </c>
      <c r="K515" s="96">
        <v>0.72935000000000005</v>
      </c>
      <c r="M515" s="99">
        <v>3446.5</v>
      </c>
      <c r="N515" s="98">
        <v>57</v>
      </c>
      <c r="O515" s="99">
        <v>3466.8</v>
      </c>
      <c r="P515" s="98">
        <v>2.5</v>
      </c>
      <c r="Q515" s="98">
        <v>0.59</v>
      </c>
      <c r="R515" s="97">
        <v>3.8999999999999998E-3</v>
      </c>
      <c r="T515" s="98" t="s">
        <v>250</v>
      </c>
      <c r="U515" s="98" t="s">
        <v>250</v>
      </c>
      <c r="V515" s="98">
        <v>0.5</v>
      </c>
      <c r="W515" s="98">
        <v>1</v>
      </c>
      <c r="X515" s="98">
        <v>0.12</v>
      </c>
      <c r="Y515" s="98">
        <v>0.18</v>
      </c>
      <c r="Z515" s="98">
        <v>1.18</v>
      </c>
      <c r="AA515" s="98">
        <v>0.44</v>
      </c>
      <c r="AB515" s="98">
        <v>0.63</v>
      </c>
      <c r="AC515" s="98">
        <v>0.27</v>
      </c>
      <c r="AD515" s="98">
        <v>440</v>
      </c>
      <c r="AE515" s="98">
        <v>43</v>
      </c>
      <c r="AF515" s="95">
        <v>1.6E-2</v>
      </c>
      <c r="AG515" s="98">
        <v>1.4999999999999999E-2</v>
      </c>
      <c r="AH515" s="96">
        <v>8.14</v>
      </c>
      <c r="AI515" s="96">
        <v>0.79</v>
      </c>
      <c r="AJ515" s="95">
        <v>4.3999999999999997E-2</v>
      </c>
      <c r="AK515" s="95">
        <v>2.4E-2</v>
      </c>
      <c r="AL515" s="96">
        <v>0.63</v>
      </c>
      <c r="AM515" s="96">
        <v>0.47</v>
      </c>
      <c r="AN515" s="96">
        <v>0.88</v>
      </c>
      <c r="AO515" s="96">
        <v>0.54</v>
      </c>
      <c r="AP515" s="96">
        <v>0.55000000000000004</v>
      </c>
      <c r="AQ515" s="96">
        <v>0.26</v>
      </c>
      <c r="AR515" s="96">
        <v>8.4</v>
      </c>
      <c r="AS515" s="93">
        <v>2.1</v>
      </c>
      <c r="AT515" s="96">
        <v>2.38</v>
      </c>
      <c r="AU515" s="96">
        <v>0.39</v>
      </c>
      <c r="AV515" s="99">
        <v>29.4</v>
      </c>
      <c r="AW515" s="98">
        <v>2.7</v>
      </c>
      <c r="AX515" s="98">
        <v>12.7</v>
      </c>
      <c r="AY515" s="98">
        <v>1.4</v>
      </c>
      <c r="AZ515" s="98">
        <v>74.900000000000006</v>
      </c>
      <c r="BA515" s="98">
        <v>7.7</v>
      </c>
      <c r="BB515" s="98">
        <v>18.5</v>
      </c>
      <c r="BC515" s="98">
        <v>2.1</v>
      </c>
      <c r="BD515" s="98">
        <v>191</v>
      </c>
      <c r="BE515" s="98">
        <v>15</v>
      </c>
      <c r="BF515" s="98">
        <v>49.4</v>
      </c>
      <c r="BG515" s="98">
        <v>4.3</v>
      </c>
      <c r="BI515" s="93">
        <v>5.0999999999999996</v>
      </c>
      <c r="BJ515" s="98">
        <v>1.4</v>
      </c>
      <c r="BK515" s="98">
        <v>550000</v>
      </c>
      <c r="BL515" s="98">
        <v>48000</v>
      </c>
      <c r="BM515" s="98">
        <v>10180</v>
      </c>
      <c r="BN515" s="98">
        <v>840</v>
      </c>
      <c r="BO515" s="99">
        <v>66.599999999999994</v>
      </c>
      <c r="BP515" s="98">
        <v>4.5999999999999996</v>
      </c>
      <c r="BQ515" s="99">
        <v>120</v>
      </c>
      <c r="BR515" s="98">
        <v>8.8000000000000007</v>
      </c>
      <c r="CD515" s="3"/>
      <c r="CE515" s="3"/>
      <c r="CF515" s="3"/>
    </row>
    <row r="516" spans="1:90" s="98" customFormat="1">
      <c r="A516" s="3" t="s">
        <v>625</v>
      </c>
      <c r="B516" s="3" t="s">
        <v>268</v>
      </c>
      <c r="C516" s="3"/>
      <c r="D516" s="93">
        <v>7.0629999999999997</v>
      </c>
      <c r="E516" s="94">
        <v>0.2989</v>
      </c>
      <c r="F516" s="94">
        <v>1E-3</v>
      </c>
      <c r="G516" s="95">
        <v>28.98</v>
      </c>
      <c r="H516" s="96">
        <v>0.7</v>
      </c>
      <c r="I516" s="97">
        <v>0.70420000000000005</v>
      </c>
      <c r="J516" s="95">
        <v>1.4999999999999999E-2</v>
      </c>
      <c r="K516" s="96">
        <v>0.65090999999999999</v>
      </c>
      <c r="M516" s="99">
        <v>3436.6</v>
      </c>
      <c r="N516" s="98">
        <v>57</v>
      </c>
      <c r="O516" s="99">
        <v>3464.7</v>
      </c>
      <c r="P516" s="98">
        <v>1.8</v>
      </c>
      <c r="Q516" s="98">
        <v>0.81</v>
      </c>
      <c r="R516" s="97">
        <v>5.7000000000000002E-3</v>
      </c>
      <c r="T516" s="98">
        <v>399</v>
      </c>
      <c r="U516" s="98">
        <v>88</v>
      </c>
      <c r="V516" s="98">
        <v>0.5</v>
      </c>
      <c r="W516" s="98">
        <v>1</v>
      </c>
      <c r="X516" s="98">
        <v>0.3</v>
      </c>
      <c r="Y516" s="98">
        <v>0.19</v>
      </c>
      <c r="Z516" s="98">
        <v>5</v>
      </c>
      <c r="AA516" s="98">
        <v>1.3</v>
      </c>
      <c r="AB516" s="98">
        <v>1.2</v>
      </c>
      <c r="AC516" s="98">
        <v>0.42</v>
      </c>
      <c r="AD516" s="98">
        <v>2530</v>
      </c>
      <c r="AE516" s="98">
        <v>230</v>
      </c>
      <c r="AF516" s="95">
        <v>2.8000000000000001E-2</v>
      </c>
      <c r="AG516" s="98">
        <v>1.7999999999999999E-2</v>
      </c>
      <c r="AH516" s="96">
        <v>35.200000000000003</v>
      </c>
      <c r="AI516" s="96">
        <v>3.4</v>
      </c>
      <c r="AJ516" s="95">
        <v>0.28199999999999997</v>
      </c>
      <c r="AK516" s="95">
        <v>6.8000000000000005E-2</v>
      </c>
      <c r="AL516" s="96">
        <v>3.8</v>
      </c>
      <c r="AM516" s="96">
        <v>1</v>
      </c>
      <c r="AN516" s="96">
        <v>7.3</v>
      </c>
      <c r="AO516" s="96">
        <v>1.6</v>
      </c>
      <c r="AP516" s="96">
        <v>1.88</v>
      </c>
      <c r="AQ516" s="96">
        <v>0.34</v>
      </c>
      <c r="AR516" s="96">
        <v>45.3</v>
      </c>
      <c r="AS516" s="93">
        <v>5.6</v>
      </c>
      <c r="AT516" s="96">
        <v>15.1</v>
      </c>
      <c r="AU516" s="96">
        <v>1.9</v>
      </c>
      <c r="AV516" s="99">
        <v>202</v>
      </c>
      <c r="AW516" s="98">
        <v>22</v>
      </c>
      <c r="AX516" s="98">
        <v>81.400000000000006</v>
      </c>
      <c r="AY516" s="98">
        <v>8</v>
      </c>
      <c r="AZ516" s="98">
        <v>414</v>
      </c>
      <c r="BA516" s="98">
        <v>62</v>
      </c>
      <c r="BB516" s="98">
        <v>85.4</v>
      </c>
      <c r="BC516" s="98">
        <v>7.4</v>
      </c>
      <c r="BD516" s="98">
        <v>762</v>
      </c>
      <c r="BE516" s="98">
        <v>84</v>
      </c>
      <c r="BF516" s="98">
        <v>150</v>
      </c>
      <c r="BG516" s="98">
        <v>15</v>
      </c>
      <c r="BI516" s="93">
        <v>17.5</v>
      </c>
      <c r="BJ516" s="98">
        <v>4.3</v>
      </c>
      <c r="BK516" s="98">
        <v>576000</v>
      </c>
      <c r="BL516" s="98">
        <v>47000</v>
      </c>
      <c r="BM516" s="98">
        <v>9000</v>
      </c>
      <c r="BN516" s="98">
        <v>940</v>
      </c>
      <c r="BO516" s="99">
        <v>375</v>
      </c>
      <c r="BP516" s="98">
        <v>32</v>
      </c>
      <c r="BQ516" s="99">
        <v>341</v>
      </c>
      <c r="BR516" s="98">
        <v>27</v>
      </c>
      <c r="CD516" s="3"/>
      <c r="CE516" s="3"/>
      <c r="CF516" s="3"/>
    </row>
    <row r="517" spans="1:90" s="98" customFormat="1">
      <c r="A517" s="3" t="s">
        <v>626</v>
      </c>
      <c r="B517" s="3" t="s">
        <v>268</v>
      </c>
      <c r="C517" s="3"/>
      <c r="D517" s="93">
        <v>7.0439999999999996</v>
      </c>
      <c r="E517" s="94">
        <v>0.29930000000000001</v>
      </c>
      <c r="F517" s="94">
        <v>1.2999999999999999E-3</v>
      </c>
      <c r="G517" s="95">
        <v>29.52</v>
      </c>
      <c r="H517" s="96">
        <v>0.72</v>
      </c>
      <c r="I517" s="97">
        <v>0.71619999999999995</v>
      </c>
      <c r="J517" s="95">
        <v>1.6E-2</v>
      </c>
      <c r="K517" s="96">
        <v>0.67210999999999999</v>
      </c>
      <c r="M517" s="99">
        <v>3481.6</v>
      </c>
      <c r="N517" s="98">
        <v>58</v>
      </c>
      <c r="O517" s="99">
        <v>3467.3</v>
      </c>
      <c r="P517" s="98">
        <v>2</v>
      </c>
      <c r="Q517" s="98">
        <v>-0.41</v>
      </c>
      <c r="R517" s="97">
        <v>1.4E-3</v>
      </c>
      <c r="T517" s="98">
        <v>170</v>
      </c>
      <c r="U517" s="98">
        <v>140</v>
      </c>
      <c r="V517" s="98">
        <v>1.18</v>
      </c>
      <c r="W517" s="98">
        <v>0.89</v>
      </c>
      <c r="X517" s="98">
        <v>0.13</v>
      </c>
      <c r="Y517" s="98">
        <v>0.13</v>
      </c>
      <c r="Z517" s="98">
        <v>0.94</v>
      </c>
      <c r="AA517" s="98">
        <v>0.28000000000000003</v>
      </c>
      <c r="AB517" s="98">
        <v>0.71</v>
      </c>
      <c r="AC517" s="98">
        <v>0.2</v>
      </c>
      <c r="AD517" s="98">
        <v>905</v>
      </c>
      <c r="AE517" s="98">
        <v>63</v>
      </c>
      <c r="AF517" s="95">
        <v>3.7999999999999999E-2</v>
      </c>
      <c r="AG517" s="98">
        <v>1.9E-2</v>
      </c>
      <c r="AH517" s="96">
        <v>12.1</v>
      </c>
      <c r="AI517" s="96">
        <v>1.3</v>
      </c>
      <c r="AJ517" s="95">
        <v>0.17699999999999999</v>
      </c>
      <c r="AK517" s="95">
        <v>5.7000000000000002E-2</v>
      </c>
      <c r="AL517" s="96">
        <v>2.4</v>
      </c>
      <c r="AM517" s="96">
        <v>1.3</v>
      </c>
      <c r="AN517" s="96">
        <v>4.4000000000000004</v>
      </c>
      <c r="AO517" s="96">
        <v>1.3</v>
      </c>
      <c r="AP517" s="96">
        <v>1.1000000000000001</v>
      </c>
      <c r="AQ517" s="96">
        <v>0.38</v>
      </c>
      <c r="AR517" s="96">
        <v>18.100000000000001</v>
      </c>
      <c r="AS517" s="93">
        <v>2.9</v>
      </c>
      <c r="AT517" s="96">
        <v>6.3</v>
      </c>
      <c r="AU517" s="96">
        <v>0.83</v>
      </c>
      <c r="AV517" s="99">
        <v>78.8</v>
      </c>
      <c r="AW517" s="98">
        <v>9.9</v>
      </c>
      <c r="AX517" s="98">
        <v>29.4</v>
      </c>
      <c r="AY517" s="98">
        <v>2.2000000000000002</v>
      </c>
      <c r="AZ517" s="98">
        <v>148.1</v>
      </c>
      <c r="BA517" s="98">
        <v>9.1</v>
      </c>
      <c r="BB517" s="98">
        <v>33.299999999999997</v>
      </c>
      <c r="BC517" s="98">
        <v>3.1</v>
      </c>
      <c r="BD517" s="98">
        <v>304</v>
      </c>
      <c r="BE517" s="98">
        <v>25</v>
      </c>
      <c r="BF517" s="98">
        <v>66.3</v>
      </c>
      <c r="BG517" s="98">
        <v>5.3</v>
      </c>
      <c r="BI517" s="93">
        <v>8.1999999999999993</v>
      </c>
      <c r="BJ517" s="98">
        <v>2.8</v>
      </c>
      <c r="BK517" s="98">
        <v>494000</v>
      </c>
      <c r="BL517" s="98">
        <v>35000</v>
      </c>
      <c r="BM517" s="98">
        <v>8810</v>
      </c>
      <c r="BN517" s="98">
        <v>780</v>
      </c>
      <c r="BO517" s="99">
        <v>107.7</v>
      </c>
      <c r="BP517" s="98">
        <v>6</v>
      </c>
      <c r="BQ517" s="99">
        <v>136.6</v>
      </c>
      <c r="BR517" s="98">
        <v>6.7</v>
      </c>
      <c r="CD517" s="3"/>
      <c r="CE517" s="3"/>
      <c r="CF517" s="3"/>
    </row>
    <row r="518" spans="1:90" s="98" customFormat="1">
      <c r="A518" s="3" t="s">
        <v>627</v>
      </c>
      <c r="B518" s="3" t="s">
        <v>268</v>
      </c>
      <c r="C518" s="3"/>
      <c r="D518" s="93">
        <v>7.04</v>
      </c>
      <c r="E518" s="94">
        <v>0.2994</v>
      </c>
      <c r="F518" s="94">
        <v>1.5E-3</v>
      </c>
      <c r="G518" s="95">
        <v>29.9</v>
      </c>
      <c r="H518" s="96">
        <v>0.76</v>
      </c>
      <c r="I518" s="97">
        <v>0.72540000000000004</v>
      </c>
      <c r="J518" s="95">
        <v>1.6E-2</v>
      </c>
      <c r="K518" s="96">
        <v>0.83057999999999998</v>
      </c>
      <c r="M518" s="99">
        <v>3516</v>
      </c>
      <c r="N518" s="98">
        <v>61</v>
      </c>
      <c r="O518" s="99">
        <v>3467.3</v>
      </c>
      <c r="P518" s="98">
        <v>2.1</v>
      </c>
      <c r="Q518" s="98">
        <v>-1.4</v>
      </c>
      <c r="R518" s="97">
        <v>4.2000000000000002E-4</v>
      </c>
      <c r="T518" s="98">
        <v>234</v>
      </c>
      <c r="U518" s="98">
        <v>77</v>
      </c>
      <c r="V518" s="98" t="s">
        <v>250</v>
      </c>
      <c r="W518" s="98" t="s">
        <v>250</v>
      </c>
      <c r="X518" s="98">
        <v>0.42</v>
      </c>
      <c r="Y518" s="98">
        <v>0.36</v>
      </c>
      <c r="Z518" s="98">
        <v>2.25</v>
      </c>
      <c r="AA518" s="98">
        <v>0.69</v>
      </c>
      <c r="AB518" s="98">
        <v>0.73</v>
      </c>
      <c r="AC518" s="98">
        <v>0.27</v>
      </c>
      <c r="AD518" s="98">
        <v>719</v>
      </c>
      <c r="AE518" s="98">
        <v>70</v>
      </c>
      <c r="AF518" s="95">
        <v>0.57999999999999996</v>
      </c>
      <c r="AG518" s="98">
        <v>0.14000000000000001</v>
      </c>
      <c r="AH518" s="96">
        <v>15.1</v>
      </c>
      <c r="AI518" s="96">
        <v>1.9</v>
      </c>
      <c r="AJ518" s="95">
        <v>0.86</v>
      </c>
      <c r="AK518" s="95">
        <v>0.18</v>
      </c>
      <c r="AL518" s="96">
        <v>7.4</v>
      </c>
      <c r="AM518" s="96">
        <v>1.6</v>
      </c>
      <c r="AN518" s="96">
        <v>6.3</v>
      </c>
      <c r="AO518" s="96">
        <v>1.5</v>
      </c>
      <c r="AP518" s="96">
        <v>1.46</v>
      </c>
      <c r="AQ518" s="96">
        <v>0.33</v>
      </c>
      <c r="AR518" s="96">
        <v>16.399999999999999</v>
      </c>
      <c r="AS518" s="93">
        <v>4.8</v>
      </c>
      <c r="AT518" s="96">
        <v>3.92</v>
      </c>
      <c r="AU518" s="96">
        <v>0.71</v>
      </c>
      <c r="AV518" s="99">
        <v>46.3</v>
      </c>
      <c r="AW518" s="98">
        <v>7</v>
      </c>
      <c r="AX518" s="98">
        <v>21.4</v>
      </c>
      <c r="AY518" s="98">
        <v>2.7</v>
      </c>
      <c r="AZ518" s="98">
        <v>118</v>
      </c>
      <c r="BA518" s="98">
        <v>13</v>
      </c>
      <c r="BB518" s="98">
        <v>27.8</v>
      </c>
      <c r="BC518" s="98">
        <v>4.5</v>
      </c>
      <c r="BD518" s="98">
        <v>270</v>
      </c>
      <c r="BE518" s="98">
        <v>29</v>
      </c>
      <c r="BF518" s="98">
        <v>63.9</v>
      </c>
      <c r="BG518" s="98">
        <v>7.7</v>
      </c>
      <c r="BI518" s="93">
        <v>6.7</v>
      </c>
      <c r="BJ518" s="98">
        <v>3.3</v>
      </c>
      <c r="BK518" s="98">
        <v>502000</v>
      </c>
      <c r="BL518" s="98">
        <v>39000</v>
      </c>
      <c r="BM518" s="98">
        <v>8670</v>
      </c>
      <c r="BN518" s="98">
        <v>930</v>
      </c>
      <c r="BO518" s="99">
        <v>83.3</v>
      </c>
      <c r="BP518" s="98">
        <v>6.3</v>
      </c>
      <c r="BQ518" s="99">
        <v>154</v>
      </c>
      <c r="BR518" s="98">
        <v>12</v>
      </c>
      <c r="CD518" s="3"/>
      <c r="CE518" s="3"/>
      <c r="CF518" s="3"/>
    </row>
    <row r="519" spans="1:90" s="98" customFormat="1">
      <c r="A519" s="3" t="s">
        <v>628</v>
      </c>
      <c r="B519" s="3" t="s">
        <v>268</v>
      </c>
      <c r="C519" s="3"/>
      <c r="D519" s="93">
        <v>7.0490000000000004</v>
      </c>
      <c r="E519" s="94">
        <v>0.29909999999999998</v>
      </c>
      <c r="F519" s="94">
        <v>1.4E-3</v>
      </c>
      <c r="G519" s="95">
        <v>28.97</v>
      </c>
      <c r="H519" s="96">
        <v>0.7</v>
      </c>
      <c r="I519" s="97">
        <v>0.70369999999999999</v>
      </c>
      <c r="J519" s="95">
        <v>1.4999999999999999E-2</v>
      </c>
      <c r="K519" s="96">
        <v>0.43318000000000001</v>
      </c>
      <c r="M519" s="99">
        <v>3434.7</v>
      </c>
      <c r="N519" s="98">
        <v>57</v>
      </c>
      <c r="O519" s="99">
        <v>3464.9</v>
      </c>
      <c r="P519" s="98">
        <v>1.8</v>
      </c>
      <c r="Q519" s="98">
        <v>0.87</v>
      </c>
      <c r="R519" s="97">
        <v>6.4000000000000003E-3</v>
      </c>
      <c r="T519" s="98">
        <v>280</v>
      </c>
      <c r="U519" s="98">
        <v>140</v>
      </c>
      <c r="V519" s="98">
        <v>0.39</v>
      </c>
      <c r="W519" s="98">
        <v>0.85</v>
      </c>
      <c r="X519" s="98">
        <v>0.17</v>
      </c>
      <c r="Y519" s="98">
        <v>0.15</v>
      </c>
      <c r="Z519" s="98">
        <v>1.66</v>
      </c>
      <c r="AA519" s="98">
        <v>0.66</v>
      </c>
      <c r="AB519" s="98">
        <v>0.71</v>
      </c>
      <c r="AC519" s="98">
        <v>0.35</v>
      </c>
      <c r="AD519" s="98">
        <v>1780</v>
      </c>
      <c r="AE519" s="98">
        <v>160</v>
      </c>
      <c r="AF519" s="95">
        <v>2.4E-2</v>
      </c>
      <c r="AG519" s="98">
        <v>1.2999999999999999E-2</v>
      </c>
      <c r="AH519" s="96">
        <v>17.5</v>
      </c>
      <c r="AI519" s="96">
        <v>2.2999999999999998</v>
      </c>
      <c r="AJ519" s="95">
        <v>0.41</v>
      </c>
      <c r="AK519" s="95">
        <v>9.8000000000000004E-2</v>
      </c>
      <c r="AL519" s="96">
        <v>4.9000000000000004</v>
      </c>
      <c r="AM519" s="96">
        <v>1.2</v>
      </c>
      <c r="AN519" s="96">
        <v>8.5</v>
      </c>
      <c r="AO519" s="96">
        <v>1.6</v>
      </c>
      <c r="AP519" s="96">
        <v>2.66</v>
      </c>
      <c r="AQ519" s="96">
        <v>0.73</v>
      </c>
      <c r="AR519" s="96">
        <v>44</v>
      </c>
      <c r="AS519" s="93">
        <v>5.9</v>
      </c>
      <c r="AT519" s="96">
        <v>14.5</v>
      </c>
      <c r="AU519" s="96">
        <v>1.3</v>
      </c>
      <c r="AV519" s="99">
        <v>163</v>
      </c>
      <c r="AW519" s="98">
        <v>17</v>
      </c>
      <c r="AX519" s="98">
        <v>61.5</v>
      </c>
      <c r="AY519" s="98">
        <v>7.5</v>
      </c>
      <c r="AZ519" s="98">
        <v>291</v>
      </c>
      <c r="BA519" s="98">
        <v>33</v>
      </c>
      <c r="BB519" s="98">
        <v>59.8</v>
      </c>
      <c r="BC519" s="98">
        <v>6</v>
      </c>
      <c r="BD519" s="98">
        <v>529</v>
      </c>
      <c r="BE519" s="98">
        <v>60</v>
      </c>
      <c r="BF519" s="98">
        <v>107</v>
      </c>
      <c r="BG519" s="98">
        <v>11</v>
      </c>
      <c r="BI519" s="93">
        <v>11.3</v>
      </c>
      <c r="BJ519" s="98">
        <v>2.8</v>
      </c>
      <c r="BK519" s="98">
        <v>561000</v>
      </c>
      <c r="BL519" s="98">
        <v>52000</v>
      </c>
      <c r="BM519" s="98">
        <v>8900</v>
      </c>
      <c r="BN519" s="98">
        <v>1000</v>
      </c>
      <c r="BO519" s="99">
        <v>209</v>
      </c>
      <c r="BP519" s="98">
        <v>17</v>
      </c>
      <c r="BQ519" s="99">
        <v>197</v>
      </c>
      <c r="BR519" s="98">
        <v>16</v>
      </c>
      <c r="CD519" s="3"/>
      <c r="CE519" s="3"/>
      <c r="CF519" s="3"/>
      <c r="CL519" s="135"/>
    </row>
    <row r="520" spans="1:90" s="98" customFormat="1">
      <c r="A520" s="3" t="s">
        <v>629</v>
      </c>
      <c r="B520" s="3" t="s">
        <v>268</v>
      </c>
      <c r="C520" s="3"/>
      <c r="D520" s="93">
        <v>7.0350000000000001</v>
      </c>
      <c r="E520" s="94">
        <v>0.29920000000000002</v>
      </c>
      <c r="F520" s="94">
        <v>1.4E-3</v>
      </c>
      <c r="G520" s="95">
        <v>29</v>
      </c>
      <c r="H520" s="96">
        <v>0.71</v>
      </c>
      <c r="I520" s="97">
        <v>0.70420000000000005</v>
      </c>
      <c r="J520" s="95">
        <v>1.4999999999999999E-2</v>
      </c>
      <c r="K520" s="96">
        <v>0.59811000000000003</v>
      </c>
      <c r="M520" s="99">
        <v>3436.4</v>
      </c>
      <c r="N520" s="98">
        <v>57</v>
      </c>
      <c r="O520" s="99">
        <v>3466.2</v>
      </c>
      <c r="P520" s="98">
        <v>2.4</v>
      </c>
      <c r="Q520" s="98">
        <v>0.86</v>
      </c>
      <c r="R520" s="97">
        <v>6.1999999999999998E-3</v>
      </c>
      <c r="T520" s="98">
        <v>190</v>
      </c>
      <c r="U520" s="98">
        <v>140</v>
      </c>
      <c r="V520" s="98">
        <v>0.3</v>
      </c>
      <c r="W520" s="98">
        <v>1</v>
      </c>
      <c r="X520" s="98">
        <v>0.09</v>
      </c>
      <c r="Y520" s="98">
        <v>0.12</v>
      </c>
      <c r="Z520" s="98">
        <v>1.58</v>
      </c>
      <c r="AA520" s="98">
        <v>0.43</v>
      </c>
      <c r="AB520" s="98">
        <v>0.92</v>
      </c>
      <c r="AC520" s="98">
        <v>0.28999999999999998</v>
      </c>
      <c r="AD520" s="98">
        <v>695</v>
      </c>
      <c r="AE520" s="98">
        <v>58</v>
      </c>
      <c r="AF520" s="95">
        <v>4.4999999999999997E-3</v>
      </c>
      <c r="AG520" s="98">
        <v>7.3000000000000001E-3</v>
      </c>
      <c r="AH520" s="96">
        <v>12.8</v>
      </c>
      <c r="AI520" s="96">
        <v>1.8</v>
      </c>
      <c r="AJ520" s="95">
        <v>8.4000000000000005E-2</v>
      </c>
      <c r="AK520" s="95">
        <v>3.1E-2</v>
      </c>
      <c r="AL520" s="96">
        <v>1.31</v>
      </c>
      <c r="AM520" s="96">
        <v>0.47</v>
      </c>
      <c r="AN520" s="96">
        <v>2.14</v>
      </c>
      <c r="AO520" s="96">
        <v>0.92</v>
      </c>
      <c r="AP520" s="96">
        <v>0.86</v>
      </c>
      <c r="AQ520" s="96">
        <v>0.23</v>
      </c>
      <c r="AR520" s="96">
        <v>10.4</v>
      </c>
      <c r="AS520" s="93">
        <v>2.2000000000000002</v>
      </c>
      <c r="AT520" s="96">
        <v>4.32</v>
      </c>
      <c r="AU520" s="96">
        <v>0.75</v>
      </c>
      <c r="AV520" s="99">
        <v>52.8</v>
      </c>
      <c r="AW520" s="98">
        <v>6</v>
      </c>
      <c r="AX520" s="98">
        <v>21.5</v>
      </c>
      <c r="AY520" s="98">
        <v>1.8</v>
      </c>
      <c r="AZ520" s="98">
        <v>115</v>
      </c>
      <c r="BA520" s="98">
        <v>13</v>
      </c>
      <c r="BB520" s="98">
        <v>26.7</v>
      </c>
      <c r="BC520" s="98">
        <v>2</v>
      </c>
      <c r="BD520" s="98">
        <v>281</v>
      </c>
      <c r="BE520" s="98">
        <v>22</v>
      </c>
      <c r="BF520" s="98">
        <v>64.099999999999994</v>
      </c>
      <c r="BG520" s="98">
        <v>5.7</v>
      </c>
      <c r="BI520" s="93">
        <v>8.9</v>
      </c>
      <c r="BJ520" s="98">
        <v>3</v>
      </c>
      <c r="BK520" s="98">
        <v>572000</v>
      </c>
      <c r="BL520" s="98">
        <v>55000</v>
      </c>
      <c r="BM520" s="98">
        <v>10430</v>
      </c>
      <c r="BN520" s="98">
        <v>950</v>
      </c>
      <c r="BO520" s="99">
        <v>96.8</v>
      </c>
      <c r="BP520" s="98">
        <v>6.8</v>
      </c>
      <c r="BQ520" s="99">
        <v>156</v>
      </c>
      <c r="BR520" s="98">
        <v>12</v>
      </c>
      <c r="CD520" s="3"/>
      <c r="CE520" s="3"/>
      <c r="CF520" s="3"/>
    </row>
    <row r="521" spans="1:90" s="98" customFormat="1">
      <c r="A521" s="3" t="s">
        <v>630</v>
      </c>
      <c r="B521" s="3" t="s">
        <v>268</v>
      </c>
      <c r="C521" s="3"/>
      <c r="D521" s="93">
        <v>7.0069999999999997</v>
      </c>
      <c r="E521" s="94">
        <v>0.29959999999999998</v>
      </c>
      <c r="F521" s="94">
        <v>1.1000000000000001E-3</v>
      </c>
      <c r="G521" s="95">
        <v>28.88</v>
      </c>
      <c r="H521" s="96">
        <v>0.7</v>
      </c>
      <c r="I521" s="97">
        <v>0.70050000000000001</v>
      </c>
      <c r="J521" s="95">
        <v>1.4999999999999999E-2</v>
      </c>
      <c r="K521" s="96">
        <v>0.66627999999999998</v>
      </c>
      <c r="M521" s="99">
        <v>3422.3</v>
      </c>
      <c r="N521" s="98">
        <v>57</v>
      </c>
      <c r="O521" s="99">
        <v>3468.1</v>
      </c>
      <c r="P521" s="98">
        <v>2.6</v>
      </c>
      <c r="Q521" s="98">
        <v>1.32</v>
      </c>
      <c r="R521" s="97">
        <v>9.4999999999999998E-3</v>
      </c>
      <c r="T521" s="98">
        <v>170</v>
      </c>
      <c r="U521" s="98">
        <v>120</v>
      </c>
      <c r="V521" s="98">
        <v>0.4</v>
      </c>
      <c r="W521" s="98">
        <v>0.76</v>
      </c>
      <c r="X521" s="98">
        <v>0.13</v>
      </c>
      <c r="Y521" s="98">
        <v>0.14000000000000001</v>
      </c>
      <c r="Z521" s="98">
        <v>1.58</v>
      </c>
      <c r="AA521" s="98">
        <v>0.55000000000000004</v>
      </c>
      <c r="AB521" s="98">
        <v>1.2</v>
      </c>
      <c r="AC521" s="98">
        <v>0.47</v>
      </c>
      <c r="AD521" s="98">
        <v>589</v>
      </c>
      <c r="AE521" s="98">
        <v>49</v>
      </c>
      <c r="AF521" s="95">
        <v>2.3E-3</v>
      </c>
      <c r="AG521" s="98">
        <v>5.7000000000000002E-3</v>
      </c>
      <c r="AH521" s="96">
        <v>10.5</v>
      </c>
      <c r="AI521" s="96">
        <v>1.3</v>
      </c>
      <c r="AJ521" s="95">
        <v>5.8000000000000003E-2</v>
      </c>
      <c r="AK521" s="95">
        <v>1.7999999999999999E-2</v>
      </c>
      <c r="AL521" s="96">
        <v>0.7</v>
      </c>
      <c r="AM521" s="96">
        <v>0.46</v>
      </c>
      <c r="AN521" s="96">
        <v>1.27</v>
      </c>
      <c r="AO521" s="96">
        <v>0.57999999999999996</v>
      </c>
      <c r="AP521" s="96">
        <v>0.46</v>
      </c>
      <c r="AQ521" s="96">
        <v>0.13</v>
      </c>
      <c r="AR521" s="96">
        <v>7</v>
      </c>
      <c r="AS521" s="93">
        <v>1.5</v>
      </c>
      <c r="AT521" s="96">
        <v>2.62</v>
      </c>
      <c r="AU521" s="96">
        <v>0.53</v>
      </c>
      <c r="AV521" s="99">
        <v>38.299999999999997</v>
      </c>
      <c r="AW521" s="98">
        <v>2.6</v>
      </c>
      <c r="AX521" s="98">
        <v>17.2</v>
      </c>
      <c r="AY521" s="98">
        <v>1.3</v>
      </c>
      <c r="AZ521" s="98">
        <v>94.1</v>
      </c>
      <c r="BA521" s="98">
        <v>5.4</v>
      </c>
      <c r="BB521" s="98">
        <v>22.1</v>
      </c>
      <c r="BC521" s="98">
        <v>1.8</v>
      </c>
      <c r="BD521" s="98">
        <v>236</v>
      </c>
      <c r="BE521" s="98">
        <v>18</v>
      </c>
      <c r="BF521" s="98">
        <v>57.4</v>
      </c>
      <c r="BG521" s="98">
        <v>4.0999999999999996</v>
      </c>
      <c r="BI521" s="93">
        <v>5.5</v>
      </c>
      <c r="BJ521" s="98">
        <v>2.6</v>
      </c>
      <c r="BK521" s="98">
        <v>536000</v>
      </c>
      <c r="BL521" s="98">
        <v>38000</v>
      </c>
      <c r="BM521" s="98">
        <v>10160</v>
      </c>
      <c r="BN521" s="98">
        <v>520</v>
      </c>
      <c r="BO521" s="99">
        <v>74.2</v>
      </c>
      <c r="BP521" s="98">
        <v>3.5</v>
      </c>
      <c r="BQ521" s="99">
        <v>128</v>
      </c>
      <c r="BR521" s="98">
        <v>6.1</v>
      </c>
      <c r="CD521" s="3"/>
      <c r="CE521" s="3"/>
      <c r="CF521" s="3"/>
    </row>
    <row r="522" spans="1:90" s="98" customFormat="1">
      <c r="A522" s="3" t="s">
        <v>631</v>
      </c>
      <c r="B522" s="3" t="s">
        <v>268</v>
      </c>
      <c r="C522" s="3"/>
      <c r="D522" s="93">
        <v>7.0039999999999996</v>
      </c>
      <c r="E522" s="94">
        <v>0.29830000000000001</v>
      </c>
      <c r="F522" s="94">
        <v>1.1000000000000001E-3</v>
      </c>
      <c r="G522" s="95">
        <v>28.89</v>
      </c>
      <c r="H522" s="96">
        <v>0.7</v>
      </c>
      <c r="I522" s="97">
        <v>0.70379999999999998</v>
      </c>
      <c r="J522" s="95">
        <v>1.4999999999999999E-2</v>
      </c>
      <c r="K522" s="96">
        <v>0.45817999999999998</v>
      </c>
      <c r="M522" s="99">
        <v>3435.1</v>
      </c>
      <c r="N522" s="98">
        <v>57</v>
      </c>
      <c r="O522" s="99">
        <v>3461.6</v>
      </c>
      <c r="P522" s="98">
        <v>2</v>
      </c>
      <c r="Q522" s="98">
        <v>0.76</v>
      </c>
      <c r="R522" s="97">
        <v>5.1000000000000004E-3</v>
      </c>
      <c r="T522" s="98">
        <v>190</v>
      </c>
      <c r="U522" s="98">
        <v>100</v>
      </c>
      <c r="V522" s="98">
        <v>0.39</v>
      </c>
      <c r="W522" s="98">
        <v>0.51</v>
      </c>
      <c r="X522" s="98">
        <v>0.1</v>
      </c>
      <c r="Y522" s="98">
        <v>0.14000000000000001</v>
      </c>
      <c r="Z522" s="98">
        <v>1.89</v>
      </c>
      <c r="AA522" s="98">
        <v>0.83</v>
      </c>
      <c r="AB522" s="98">
        <v>0.41</v>
      </c>
      <c r="AC522" s="98">
        <v>0.28000000000000003</v>
      </c>
      <c r="AD522" s="98">
        <v>1210</v>
      </c>
      <c r="AE522" s="98">
        <v>100</v>
      </c>
      <c r="AF522" s="95">
        <v>1.5299999999999999E-2</v>
      </c>
      <c r="AG522" s="98">
        <v>8.8999999999999999E-3</v>
      </c>
      <c r="AH522" s="96">
        <v>12.3</v>
      </c>
      <c r="AI522" s="96">
        <v>1.4</v>
      </c>
      <c r="AJ522" s="95">
        <v>0.20599999999999999</v>
      </c>
      <c r="AK522" s="95">
        <v>4.7E-2</v>
      </c>
      <c r="AL522" s="96">
        <v>2.8</v>
      </c>
      <c r="AM522" s="96">
        <v>0.67</v>
      </c>
      <c r="AN522" s="96">
        <v>5.7</v>
      </c>
      <c r="AO522" s="96">
        <v>1.8</v>
      </c>
      <c r="AP522" s="96">
        <v>1.8</v>
      </c>
      <c r="AQ522" s="96">
        <v>0.36</v>
      </c>
      <c r="AR522" s="96">
        <v>25</v>
      </c>
      <c r="AS522" s="93">
        <v>4.9000000000000004</v>
      </c>
      <c r="AT522" s="96">
        <v>8.6999999999999993</v>
      </c>
      <c r="AU522" s="96">
        <v>1.2</v>
      </c>
      <c r="AV522" s="99">
        <v>102</v>
      </c>
      <c r="AW522" s="98">
        <v>14</v>
      </c>
      <c r="AX522" s="98">
        <v>37.6</v>
      </c>
      <c r="AY522" s="98">
        <v>3.6</v>
      </c>
      <c r="AZ522" s="98">
        <v>185</v>
      </c>
      <c r="BA522" s="98">
        <v>24</v>
      </c>
      <c r="BB522" s="98">
        <v>38.4</v>
      </c>
      <c r="BC522" s="98">
        <v>4.8</v>
      </c>
      <c r="BD522" s="98">
        <v>345</v>
      </c>
      <c r="BE522" s="98">
        <v>36</v>
      </c>
      <c r="BF522" s="98">
        <v>73.8</v>
      </c>
      <c r="BG522" s="98">
        <v>7.9</v>
      </c>
      <c r="BI522" s="93">
        <v>7.3</v>
      </c>
      <c r="BJ522" s="98">
        <v>2.1</v>
      </c>
      <c r="BK522" s="98">
        <v>593000</v>
      </c>
      <c r="BL522" s="98">
        <v>60000</v>
      </c>
      <c r="BM522" s="98">
        <v>10200</v>
      </c>
      <c r="BN522" s="98">
        <v>1200</v>
      </c>
      <c r="BO522" s="99">
        <v>131</v>
      </c>
      <c r="BP522" s="98">
        <v>11</v>
      </c>
      <c r="BQ522" s="99">
        <v>132</v>
      </c>
      <c r="BR522" s="98">
        <v>11</v>
      </c>
      <c r="CD522" s="3"/>
      <c r="CE522" s="3"/>
      <c r="CF522" s="3"/>
      <c r="CL522" s="135"/>
    </row>
    <row r="523" spans="1:90" s="98" customFormat="1">
      <c r="A523" s="3" t="s">
        <v>632</v>
      </c>
      <c r="B523" s="3" t="s">
        <v>268</v>
      </c>
      <c r="C523" s="3"/>
      <c r="D523" s="93">
        <v>7.0350000000000001</v>
      </c>
      <c r="E523" s="94">
        <v>0.29849999999999999</v>
      </c>
      <c r="F523" s="94">
        <v>1.1000000000000001E-3</v>
      </c>
      <c r="G523" s="95">
        <v>28.73</v>
      </c>
      <c r="H523" s="96">
        <v>0.7</v>
      </c>
      <c r="I523" s="97">
        <v>0.6996</v>
      </c>
      <c r="J523" s="95">
        <v>1.4999999999999999E-2</v>
      </c>
      <c r="K523" s="96">
        <v>0.67874999999999996</v>
      </c>
      <c r="M523" s="99">
        <v>3419</v>
      </c>
      <c r="N523" s="98">
        <v>57</v>
      </c>
      <c r="O523" s="99">
        <v>3462.9</v>
      </c>
      <c r="P523" s="98">
        <v>2.1</v>
      </c>
      <c r="Q523" s="98">
        <v>1.27</v>
      </c>
      <c r="R523" s="97">
        <v>8.8000000000000005E-3</v>
      </c>
      <c r="T523" s="98">
        <v>166</v>
      </c>
      <c r="U523" s="98">
        <v>90</v>
      </c>
      <c r="V523" s="98">
        <v>0.3</v>
      </c>
      <c r="W523" s="98">
        <v>1</v>
      </c>
      <c r="X523" s="98">
        <v>0.31</v>
      </c>
      <c r="Y523" s="98">
        <v>0.26</v>
      </c>
      <c r="Z523" s="98">
        <v>2.74</v>
      </c>
      <c r="AA523" s="98">
        <v>0.53</v>
      </c>
      <c r="AB523" s="98">
        <v>0.89</v>
      </c>
      <c r="AC523" s="98">
        <v>0.39</v>
      </c>
      <c r="AD523" s="98">
        <v>1014</v>
      </c>
      <c r="AE523" s="98">
        <v>71</v>
      </c>
      <c r="AF523" s="95">
        <v>6.7999999999999996E-3</v>
      </c>
      <c r="AG523" s="98">
        <v>7.9000000000000008E-3</v>
      </c>
      <c r="AH523" s="96">
        <v>16.7</v>
      </c>
      <c r="AI523" s="96">
        <v>1.7</v>
      </c>
      <c r="AJ523" s="95">
        <v>6.0999999999999999E-2</v>
      </c>
      <c r="AK523" s="95">
        <v>3.4000000000000002E-2</v>
      </c>
      <c r="AL523" s="96">
        <v>1.47</v>
      </c>
      <c r="AM523" s="96">
        <v>0.64</v>
      </c>
      <c r="AN523" s="96">
        <v>2.9</v>
      </c>
      <c r="AO523" s="96">
        <v>0.82</v>
      </c>
      <c r="AP523" s="96">
        <v>0.86</v>
      </c>
      <c r="AQ523" s="96">
        <v>0.22</v>
      </c>
      <c r="AR523" s="96">
        <v>13.6</v>
      </c>
      <c r="AS523" s="93">
        <v>2.2999999999999998</v>
      </c>
      <c r="AT523" s="96">
        <v>4.95</v>
      </c>
      <c r="AU523" s="96">
        <v>0.83</v>
      </c>
      <c r="AV523" s="99">
        <v>63</v>
      </c>
      <c r="AW523" s="98">
        <v>5.9</v>
      </c>
      <c r="AX523" s="98">
        <v>29.4</v>
      </c>
      <c r="AY523" s="98">
        <v>2.2999999999999998</v>
      </c>
      <c r="AZ523" s="98">
        <v>165</v>
      </c>
      <c r="BA523" s="98">
        <v>17</v>
      </c>
      <c r="BB523" s="98">
        <v>41.3</v>
      </c>
      <c r="BC523" s="98">
        <v>3.6</v>
      </c>
      <c r="BD523" s="98">
        <v>402</v>
      </c>
      <c r="BE523" s="98">
        <v>34</v>
      </c>
      <c r="BF523" s="98">
        <v>92.5</v>
      </c>
      <c r="BG523" s="98">
        <v>8.6999999999999993</v>
      </c>
      <c r="BI523" s="93">
        <v>6.6</v>
      </c>
      <c r="BJ523" s="98">
        <v>3.3</v>
      </c>
      <c r="BK523" s="98">
        <v>502000</v>
      </c>
      <c r="BL523" s="98">
        <v>31000</v>
      </c>
      <c r="BM523" s="98">
        <v>9170</v>
      </c>
      <c r="BN523" s="98">
        <v>770</v>
      </c>
      <c r="BO523" s="99">
        <v>150.30000000000001</v>
      </c>
      <c r="BP523" s="98">
        <v>9.1999999999999993</v>
      </c>
      <c r="BQ523" s="99">
        <v>236</v>
      </c>
      <c r="BR523" s="98">
        <v>15</v>
      </c>
      <c r="CD523" s="3"/>
      <c r="CE523" s="3"/>
      <c r="CF523" s="3"/>
    </row>
    <row r="524" spans="1:90" s="98" customFormat="1">
      <c r="A524" s="3" t="s">
        <v>633</v>
      </c>
      <c r="B524" s="3" t="s">
        <v>268</v>
      </c>
      <c r="C524" s="3"/>
      <c r="D524" s="93">
        <v>7.0190000000000001</v>
      </c>
      <c r="E524" s="94">
        <v>0.29870000000000002</v>
      </c>
      <c r="F524" s="94">
        <v>1.4E-3</v>
      </c>
      <c r="G524" s="95">
        <v>28.54</v>
      </c>
      <c r="H524" s="96">
        <v>0.7</v>
      </c>
      <c r="I524" s="97">
        <v>0.69479999999999997</v>
      </c>
      <c r="J524" s="95">
        <v>1.4999999999999999E-2</v>
      </c>
      <c r="K524" s="96">
        <v>0.59025000000000005</v>
      </c>
      <c r="M524" s="99">
        <v>3400.9</v>
      </c>
      <c r="N524" s="98">
        <v>57</v>
      </c>
      <c r="O524" s="99">
        <v>3463.6</v>
      </c>
      <c r="P524" s="98">
        <v>3.2</v>
      </c>
      <c r="Q524" s="98">
        <v>1.81</v>
      </c>
      <c r="R524" s="97">
        <v>1.29E-2</v>
      </c>
      <c r="T524" s="98">
        <v>250</v>
      </c>
      <c r="U524" s="98">
        <v>110</v>
      </c>
      <c r="V524" s="98">
        <v>0.5</v>
      </c>
      <c r="W524" s="98">
        <v>1.3</v>
      </c>
      <c r="X524" s="98">
        <v>0.15</v>
      </c>
      <c r="Y524" s="98">
        <v>0.17</v>
      </c>
      <c r="Z524" s="98">
        <v>1.92</v>
      </c>
      <c r="AA524" s="98">
        <v>0.6</v>
      </c>
      <c r="AB524" s="98">
        <v>0.72</v>
      </c>
      <c r="AC524" s="98">
        <v>0.25</v>
      </c>
      <c r="AD524" s="98">
        <v>801</v>
      </c>
      <c r="AE524" s="98">
        <v>88</v>
      </c>
      <c r="AF524" s="95">
        <v>7.0000000000000001E-3</v>
      </c>
      <c r="AG524" s="98">
        <v>1.0999999999999999E-2</v>
      </c>
      <c r="AH524" s="96">
        <v>11.4</v>
      </c>
      <c r="AI524" s="96">
        <v>1.4</v>
      </c>
      <c r="AJ524" s="95">
        <v>5.6000000000000001E-2</v>
      </c>
      <c r="AK524" s="95">
        <v>3.2000000000000001E-2</v>
      </c>
      <c r="AL524" s="96">
        <v>1.21</v>
      </c>
      <c r="AM524" s="96">
        <v>0.5</v>
      </c>
      <c r="AN524" s="96">
        <v>2.2000000000000002</v>
      </c>
      <c r="AO524" s="96">
        <v>1.1000000000000001</v>
      </c>
      <c r="AP524" s="96">
        <v>0.6</v>
      </c>
      <c r="AQ524" s="96">
        <v>0.26</v>
      </c>
      <c r="AR524" s="96">
        <v>13.1</v>
      </c>
      <c r="AS524" s="93">
        <v>2.5</v>
      </c>
      <c r="AT524" s="96">
        <v>5.0999999999999996</v>
      </c>
      <c r="AU524" s="96">
        <v>1</v>
      </c>
      <c r="AV524" s="99">
        <v>61.2</v>
      </c>
      <c r="AW524" s="98">
        <v>6.3</v>
      </c>
      <c r="AX524" s="98">
        <v>26.7</v>
      </c>
      <c r="AY524" s="98">
        <v>2.8</v>
      </c>
      <c r="AZ524" s="98">
        <v>135.4</v>
      </c>
      <c r="BA524" s="98">
        <v>9.6999999999999993</v>
      </c>
      <c r="BB524" s="98">
        <v>29.5</v>
      </c>
      <c r="BC524" s="98">
        <v>2.5</v>
      </c>
      <c r="BD524" s="98">
        <v>287</v>
      </c>
      <c r="BE524" s="98">
        <v>19</v>
      </c>
      <c r="BF524" s="98">
        <v>61.8</v>
      </c>
      <c r="BG524" s="98">
        <v>4.2</v>
      </c>
      <c r="BI524" s="93">
        <v>13.7</v>
      </c>
      <c r="BJ524" s="98">
        <v>3.7</v>
      </c>
      <c r="BK524" s="98">
        <v>519000</v>
      </c>
      <c r="BL524" s="98">
        <v>41000</v>
      </c>
      <c r="BM524" s="98">
        <v>8750</v>
      </c>
      <c r="BN524" s="98">
        <v>510</v>
      </c>
      <c r="BO524" s="99">
        <v>66.400000000000006</v>
      </c>
      <c r="BP524" s="98">
        <v>4.5</v>
      </c>
      <c r="BQ524" s="99">
        <v>102.8</v>
      </c>
      <c r="BR524" s="98">
        <v>6.9</v>
      </c>
      <c r="CD524" s="3"/>
      <c r="CE524" s="3"/>
      <c r="CF524" s="3"/>
    </row>
    <row r="525" spans="1:90" s="98" customFormat="1">
      <c r="A525" s="3" t="s">
        <v>647</v>
      </c>
      <c r="B525" s="3" t="s">
        <v>268</v>
      </c>
      <c r="C525" s="3"/>
      <c r="D525" s="93">
        <v>7.0469999999999997</v>
      </c>
      <c r="E525" s="94">
        <v>0.29920000000000002</v>
      </c>
      <c r="F525" s="94">
        <v>1.2999999999999999E-3</v>
      </c>
      <c r="G525" s="95">
        <v>29.13</v>
      </c>
      <c r="H525" s="96">
        <v>0.71</v>
      </c>
      <c r="I525" s="97">
        <v>0.70689999999999997</v>
      </c>
      <c r="J525" s="95">
        <v>1.4999999999999999E-2</v>
      </c>
      <c r="K525" s="96">
        <v>0.92412000000000005</v>
      </c>
      <c r="M525" s="99">
        <v>3446.9</v>
      </c>
      <c r="N525" s="98">
        <v>58</v>
      </c>
      <c r="O525" s="99">
        <v>3467</v>
      </c>
      <c r="P525" s="98">
        <v>3</v>
      </c>
      <c r="Q525" s="98">
        <v>0.57999999999999996</v>
      </c>
      <c r="R525" s="97">
        <v>4.1000000000000003E-3</v>
      </c>
      <c r="T525" s="98">
        <v>260</v>
      </c>
      <c r="U525" s="98">
        <v>110</v>
      </c>
      <c r="V525" s="98">
        <v>0.33</v>
      </c>
      <c r="W525" s="98">
        <v>0.94</v>
      </c>
      <c r="X525" s="98">
        <v>0.24</v>
      </c>
      <c r="Y525" s="98">
        <v>0.16</v>
      </c>
      <c r="Z525" s="98">
        <v>1.71</v>
      </c>
      <c r="AA525" s="98">
        <v>0.44</v>
      </c>
      <c r="AB525" s="98">
        <v>1.03</v>
      </c>
      <c r="AC525" s="98">
        <v>0.27</v>
      </c>
      <c r="AD525" s="98">
        <v>2470</v>
      </c>
      <c r="AE525" s="98">
        <v>240</v>
      </c>
      <c r="AF525" s="95">
        <v>4.8000000000000001E-2</v>
      </c>
      <c r="AG525" s="98">
        <v>2.5000000000000001E-2</v>
      </c>
      <c r="AH525" s="96">
        <v>19.7</v>
      </c>
      <c r="AI525" s="96">
        <v>2.1</v>
      </c>
      <c r="AJ525" s="95">
        <v>0.52700000000000002</v>
      </c>
      <c r="AK525" s="95">
        <v>9.4E-2</v>
      </c>
      <c r="AL525" s="96">
        <v>5.54</v>
      </c>
      <c r="AM525" s="96">
        <v>0.79</v>
      </c>
      <c r="AN525" s="96">
        <v>10.6</v>
      </c>
      <c r="AO525" s="96">
        <v>1.4</v>
      </c>
      <c r="AP525" s="96">
        <v>3.07</v>
      </c>
      <c r="AQ525" s="96">
        <v>0.7</v>
      </c>
      <c r="AR525" s="96">
        <v>58.4</v>
      </c>
      <c r="AS525" s="93">
        <v>8.1999999999999993</v>
      </c>
      <c r="AT525" s="96">
        <v>18.7</v>
      </c>
      <c r="AU525" s="96">
        <v>1.8</v>
      </c>
      <c r="AV525" s="99">
        <v>208</v>
      </c>
      <c r="AW525" s="98">
        <v>22</v>
      </c>
      <c r="AX525" s="98">
        <v>81.400000000000006</v>
      </c>
      <c r="AY525" s="98">
        <v>9.1</v>
      </c>
      <c r="AZ525" s="98">
        <v>367</v>
      </c>
      <c r="BA525" s="98">
        <v>35</v>
      </c>
      <c r="BB525" s="98">
        <v>70.7</v>
      </c>
      <c r="BC525" s="98">
        <v>7.3</v>
      </c>
      <c r="BD525" s="98">
        <v>631</v>
      </c>
      <c r="BE525" s="98">
        <v>69</v>
      </c>
      <c r="BF525" s="98">
        <v>124</v>
      </c>
      <c r="BG525" s="98">
        <v>11</v>
      </c>
      <c r="BI525" s="93">
        <v>10.7</v>
      </c>
      <c r="BJ525" s="98">
        <v>2.7</v>
      </c>
      <c r="BK525" s="98">
        <v>547000</v>
      </c>
      <c r="BL525" s="98">
        <v>56000</v>
      </c>
      <c r="BM525" s="98">
        <v>9060</v>
      </c>
      <c r="BN525" s="98">
        <v>950</v>
      </c>
      <c r="BO525" s="99">
        <v>292</v>
      </c>
      <c r="BP525" s="98">
        <v>25</v>
      </c>
      <c r="BQ525" s="99">
        <v>243</v>
      </c>
      <c r="BR525" s="98">
        <v>21</v>
      </c>
      <c r="CD525" s="3"/>
      <c r="CE525" s="3"/>
      <c r="CF525" s="3"/>
    </row>
    <row r="526" spans="1:90" s="98" customFormat="1">
      <c r="A526" s="3" t="s">
        <v>634</v>
      </c>
      <c r="B526" s="3" t="s">
        <v>268</v>
      </c>
      <c r="C526" s="3"/>
      <c r="D526" s="93">
        <v>7.1870000000000003</v>
      </c>
      <c r="E526" s="94">
        <v>0.29970000000000002</v>
      </c>
      <c r="F526" s="94">
        <v>1.2999999999999999E-3</v>
      </c>
      <c r="G526" s="95">
        <v>28.77</v>
      </c>
      <c r="H526" s="96">
        <v>0.7</v>
      </c>
      <c r="I526" s="97">
        <v>0.69789999999999996</v>
      </c>
      <c r="J526" s="95">
        <v>1.4999999999999999E-2</v>
      </c>
      <c r="K526" s="96">
        <v>0.63624000000000003</v>
      </c>
      <c r="M526" s="99">
        <v>3412.6</v>
      </c>
      <c r="N526" s="98">
        <v>57</v>
      </c>
      <c r="O526" s="99">
        <v>3468.7</v>
      </c>
      <c r="P526" s="98">
        <v>2.2000000000000002</v>
      </c>
      <c r="Q526" s="98">
        <v>1.62</v>
      </c>
      <c r="R526" s="97">
        <v>1.1599999999999999E-2</v>
      </c>
      <c r="T526" s="98">
        <v>204</v>
      </c>
      <c r="U526" s="98">
        <v>93</v>
      </c>
      <c r="V526" s="98" t="s">
        <v>250</v>
      </c>
      <c r="W526" s="98" t="s">
        <v>250</v>
      </c>
      <c r="X526" s="98">
        <v>0.23</v>
      </c>
      <c r="Y526" s="98">
        <v>0.22</v>
      </c>
      <c r="Z526" s="98">
        <v>1.1000000000000001</v>
      </c>
      <c r="AA526" s="98">
        <v>0.33</v>
      </c>
      <c r="AB526" s="98">
        <v>0.47</v>
      </c>
      <c r="AC526" s="98">
        <v>0.21</v>
      </c>
      <c r="AD526" s="98">
        <v>1220</v>
      </c>
      <c r="AE526" s="98">
        <v>100</v>
      </c>
      <c r="AF526" s="95">
        <v>1.2999999999999999E-2</v>
      </c>
      <c r="AG526" s="98">
        <v>1.2E-2</v>
      </c>
      <c r="AH526" s="96">
        <v>14.4</v>
      </c>
      <c r="AI526" s="96">
        <v>2</v>
      </c>
      <c r="AJ526" s="95">
        <v>0.17</v>
      </c>
      <c r="AK526" s="95">
        <v>3.4000000000000002E-2</v>
      </c>
      <c r="AL526" s="96">
        <v>3.03</v>
      </c>
      <c r="AM526" s="96">
        <v>0.7</v>
      </c>
      <c r="AN526" s="96">
        <v>4.21</v>
      </c>
      <c r="AO526" s="96">
        <v>0.97</v>
      </c>
      <c r="AP526" s="96">
        <v>1.25</v>
      </c>
      <c r="AQ526" s="96">
        <v>0.27</v>
      </c>
      <c r="AR526" s="96">
        <v>24.8</v>
      </c>
      <c r="AS526" s="93">
        <v>5.8</v>
      </c>
      <c r="AT526" s="96">
        <v>7.7</v>
      </c>
      <c r="AU526" s="96">
        <v>0.84</v>
      </c>
      <c r="AV526" s="99">
        <v>91.6</v>
      </c>
      <c r="AW526" s="98">
        <v>7.5</v>
      </c>
      <c r="AX526" s="98">
        <v>38.9</v>
      </c>
      <c r="AY526" s="98">
        <v>3.7</v>
      </c>
      <c r="AZ526" s="98">
        <v>194</v>
      </c>
      <c r="BA526" s="98">
        <v>18</v>
      </c>
      <c r="BB526" s="98">
        <v>37.1</v>
      </c>
      <c r="BC526" s="98">
        <v>2.8</v>
      </c>
      <c r="BD526" s="98">
        <v>361</v>
      </c>
      <c r="BE526" s="98">
        <v>35</v>
      </c>
      <c r="BF526" s="98">
        <v>80.599999999999994</v>
      </c>
      <c r="BG526" s="98">
        <v>6.3</v>
      </c>
      <c r="BI526" s="93">
        <v>7.3</v>
      </c>
      <c r="BJ526" s="98">
        <v>3.3</v>
      </c>
      <c r="BK526" s="98">
        <v>528000</v>
      </c>
      <c r="BL526" s="98">
        <v>53000</v>
      </c>
      <c r="BM526" s="98">
        <v>10420</v>
      </c>
      <c r="BN526" s="98">
        <v>950</v>
      </c>
      <c r="BO526" s="99">
        <v>156</v>
      </c>
      <c r="BP526" s="98">
        <v>12</v>
      </c>
      <c r="BQ526" s="99">
        <v>162</v>
      </c>
      <c r="BR526" s="98">
        <v>12</v>
      </c>
      <c r="CD526" s="3"/>
      <c r="CE526" s="3"/>
      <c r="CF526" s="3"/>
    </row>
    <row r="527" spans="1:90" s="98" customFormat="1">
      <c r="A527" s="3" t="s">
        <v>635</v>
      </c>
      <c r="B527" s="3" t="s">
        <v>268</v>
      </c>
      <c r="C527" s="3"/>
      <c r="D527" s="93">
        <v>7.0350000000000001</v>
      </c>
      <c r="E527" s="94">
        <v>0.29930000000000001</v>
      </c>
      <c r="F527" s="94">
        <v>1.1000000000000001E-3</v>
      </c>
      <c r="G527" s="95">
        <v>29.09</v>
      </c>
      <c r="H527" s="96">
        <v>0.71</v>
      </c>
      <c r="I527" s="97">
        <v>0.70650000000000002</v>
      </c>
      <c r="J527" s="95">
        <v>1.4999999999999999E-2</v>
      </c>
      <c r="K527" s="96">
        <v>0.60734999999999995</v>
      </c>
      <c r="M527" s="99">
        <v>3445.4</v>
      </c>
      <c r="N527" s="98">
        <v>57</v>
      </c>
      <c r="O527" s="99">
        <v>3466.7</v>
      </c>
      <c r="P527" s="98">
        <v>2.2999999999999998</v>
      </c>
      <c r="Q527" s="98">
        <v>0.62</v>
      </c>
      <c r="R527" s="97">
        <v>4.3E-3</v>
      </c>
      <c r="T527" s="98">
        <v>170</v>
      </c>
      <c r="U527" s="98">
        <v>110</v>
      </c>
      <c r="V527" s="98">
        <v>0.53</v>
      </c>
      <c r="W527" s="98">
        <v>0.82</v>
      </c>
      <c r="X527" s="98">
        <v>0.11</v>
      </c>
      <c r="Y527" s="98">
        <v>0.12</v>
      </c>
      <c r="Z527" s="98">
        <v>1.26</v>
      </c>
      <c r="AA527" s="98">
        <v>0.37</v>
      </c>
      <c r="AB527" s="98">
        <v>0.5</v>
      </c>
      <c r="AC527" s="98">
        <v>0.22</v>
      </c>
      <c r="AD527" s="98">
        <v>579</v>
      </c>
      <c r="AE527" s="98">
        <v>74</v>
      </c>
      <c r="AF527" s="95">
        <v>2.1000000000000001E-2</v>
      </c>
      <c r="AG527" s="98">
        <v>1.7999999999999999E-2</v>
      </c>
      <c r="AH527" s="96">
        <v>11.7</v>
      </c>
      <c r="AI527" s="96">
        <v>1.5</v>
      </c>
      <c r="AJ527" s="95">
        <v>4.4999999999999998E-2</v>
      </c>
      <c r="AK527" s="95">
        <v>2.5999999999999999E-2</v>
      </c>
      <c r="AL527" s="96">
        <v>1.51</v>
      </c>
      <c r="AM527" s="96">
        <v>0.63</v>
      </c>
      <c r="AN527" s="96">
        <v>2.06</v>
      </c>
      <c r="AO527" s="96">
        <v>0.73</v>
      </c>
      <c r="AP527" s="96">
        <v>0.75</v>
      </c>
      <c r="AQ527" s="96">
        <v>0.31</v>
      </c>
      <c r="AR527" s="96">
        <v>7.5</v>
      </c>
      <c r="AS527" s="93">
        <v>1.7</v>
      </c>
      <c r="AT527" s="96">
        <v>3.27</v>
      </c>
      <c r="AU527" s="96">
        <v>0.62</v>
      </c>
      <c r="AV527" s="99">
        <v>44.5</v>
      </c>
      <c r="AW527" s="98">
        <v>5.7</v>
      </c>
      <c r="AX527" s="98">
        <v>17.5</v>
      </c>
      <c r="AY527" s="98">
        <v>2.1</v>
      </c>
      <c r="AZ527" s="98">
        <v>91.6</v>
      </c>
      <c r="BA527" s="98">
        <v>9.6999999999999993</v>
      </c>
      <c r="BB527" s="98">
        <v>21.9</v>
      </c>
      <c r="BC527" s="98">
        <v>2.1</v>
      </c>
      <c r="BD527" s="98">
        <v>222</v>
      </c>
      <c r="BE527" s="98">
        <v>22</v>
      </c>
      <c r="BF527" s="98">
        <v>50.5</v>
      </c>
      <c r="BG527" s="98">
        <v>5.8</v>
      </c>
      <c r="BI527" s="93">
        <v>7.1</v>
      </c>
      <c r="BJ527" s="98">
        <v>1.8</v>
      </c>
      <c r="BK527" s="98">
        <v>524000</v>
      </c>
      <c r="BL527" s="98">
        <v>51000</v>
      </c>
      <c r="BM527" s="98">
        <v>9500</v>
      </c>
      <c r="BN527" s="98">
        <v>710</v>
      </c>
      <c r="BO527" s="99">
        <v>109</v>
      </c>
      <c r="BP527" s="98">
        <v>10</v>
      </c>
      <c r="BQ527" s="99">
        <v>173</v>
      </c>
      <c r="BR527" s="98">
        <v>16</v>
      </c>
      <c r="CD527" s="3"/>
      <c r="CE527" s="3"/>
      <c r="CF527" s="3"/>
    </row>
    <row r="528" spans="1:90" s="98" customFormat="1">
      <c r="A528" s="3" t="s">
        <v>636</v>
      </c>
      <c r="B528" s="3" t="s">
        <v>268</v>
      </c>
      <c r="C528" s="3"/>
      <c r="D528" s="93">
        <v>7.0449999999999999</v>
      </c>
      <c r="E528" s="94">
        <v>0.2989</v>
      </c>
      <c r="F528" s="94">
        <v>1.2999999999999999E-3</v>
      </c>
      <c r="G528" s="95">
        <v>28.81</v>
      </c>
      <c r="H528" s="96">
        <v>0.7</v>
      </c>
      <c r="I528" s="97">
        <v>0.7006</v>
      </c>
      <c r="J528" s="95">
        <v>1.4999999999999999E-2</v>
      </c>
      <c r="K528" s="96">
        <v>0.54786000000000001</v>
      </c>
      <c r="M528" s="99">
        <v>3422.8</v>
      </c>
      <c r="N528" s="98">
        <v>57</v>
      </c>
      <c r="O528" s="99">
        <v>3463.9</v>
      </c>
      <c r="P528" s="98">
        <v>2.6</v>
      </c>
      <c r="Q528" s="98">
        <v>1.19</v>
      </c>
      <c r="R528" s="97">
        <v>8.5000000000000006E-3</v>
      </c>
      <c r="T528" s="98">
        <v>253</v>
      </c>
      <c r="U528" s="98">
        <v>91</v>
      </c>
      <c r="V528" s="98">
        <v>0.5</v>
      </c>
      <c r="W528" s="98">
        <v>1.1000000000000001</v>
      </c>
      <c r="X528" s="98">
        <v>0.33</v>
      </c>
      <c r="Y528" s="98">
        <v>0.19</v>
      </c>
      <c r="Z528" s="98">
        <v>1.18</v>
      </c>
      <c r="AA528" s="98">
        <v>0.59</v>
      </c>
      <c r="AB528" s="98">
        <v>0.28999999999999998</v>
      </c>
      <c r="AC528" s="98">
        <v>0.22</v>
      </c>
      <c r="AD528" s="98">
        <v>1500</v>
      </c>
      <c r="AE528" s="98">
        <v>140</v>
      </c>
      <c r="AF528" s="95">
        <v>2.3E-2</v>
      </c>
      <c r="AG528" s="98">
        <v>1.4E-2</v>
      </c>
      <c r="AH528" s="96">
        <v>14.3</v>
      </c>
      <c r="AI528" s="96">
        <v>1.6</v>
      </c>
      <c r="AJ528" s="95">
        <v>0.45</v>
      </c>
      <c r="AK528" s="95">
        <v>0.13</v>
      </c>
      <c r="AL528" s="96">
        <v>4.9000000000000004</v>
      </c>
      <c r="AM528" s="96">
        <v>1.2</v>
      </c>
      <c r="AN528" s="96">
        <v>7.5</v>
      </c>
      <c r="AO528" s="96">
        <v>1.7</v>
      </c>
      <c r="AP528" s="96">
        <v>1.79</v>
      </c>
      <c r="AQ528" s="96">
        <v>0.28999999999999998</v>
      </c>
      <c r="AR528" s="96">
        <v>39.9</v>
      </c>
      <c r="AS528" s="93">
        <v>6.2</v>
      </c>
      <c r="AT528" s="96">
        <v>11.1</v>
      </c>
      <c r="AU528" s="96">
        <v>1.4</v>
      </c>
      <c r="AV528" s="99">
        <v>141</v>
      </c>
      <c r="AW528" s="98">
        <v>13</v>
      </c>
      <c r="AX528" s="98">
        <v>48.4</v>
      </c>
      <c r="AY528" s="98">
        <v>4.7</v>
      </c>
      <c r="AZ528" s="98">
        <v>234</v>
      </c>
      <c r="BA528" s="98">
        <v>26</v>
      </c>
      <c r="BB528" s="98">
        <v>47</v>
      </c>
      <c r="BC528" s="98">
        <v>5.4</v>
      </c>
      <c r="BD528" s="98">
        <v>445</v>
      </c>
      <c r="BE528" s="98">
        <v>42</v>
      </c>
      <c r="BF528" s="98">
        <v>90</v>
      </c>
      <c r="BG528" s="98">
        <v>8.3000000000000007</v>
      </c>
      <c r="BI528" s="93">
        <v>7.5</v>
      </c>
      <c r="BJ528" s="98">
        <v>3</v>
      </c>
      <c r="BK528" s="98">
        <v>542000</v>
      </c>
      <c r="BL528" s="98">
        <v>63000</v>
      </c>
      <c r="BM528" s="98">
        <v>9390</v>
      </c>
      <c r="BN528" s="98">
        <v>890</v>
      </c>
      <c r="BO528" s="99">
        <v>177</v>
      </c>
      <c r="BP528" s="98">
        <v>14</v>
      </c>
      <c r="BQ528" s="99">
        <v>164</v>
      </c>
      <c r="BR528" s="98">
        <v>13</v>
      </c>
      <c r="CD528" s="3"/>
      <c r="CE528" s="3"/>
      <c r="CF528" s="3"/>
    </row>
    <row r="529" spans="1:90" s="98" customFormat="1">
      <c r="A529" s="3" t="s">
        <v>637</v>
      </c>
      <c r="B529" s="3" t="s">
        <v>268</v>
      </c>
      <c r="C529" s="3"/>
      <c r="D529" s="93">
        <v>7.1349999999999998</v>
      </c>
      <c r="E529" s="94">
        <v>0.2994</v>
      </c>
      <c r="F529" s="94">
        <v>1.1000000000000001E-3</v>
      </c>
      <c r="G529" s="95">
        <v>29.4</v>
      </c>
      <c r="H529" s="96">
        <v>0.71</v>
      </c>
      <c r="I529" s="97">
        <v>0.71360000000000001</v>
      </c>
      <c r="J529" s="95">
        <v>1.4999999999999999E-2</v>
      </c>
      <c r="K529" s="96">
        <v>0.57179999999999997</v>
      </c>
      <c r="M529" s="99">
        <v>3472.1</v>
      </c>
      <c r="N529" s="98">
        <v>58</v>
      </c>
      <c r="O529" s="99">
        <v>3466.5</v>
      </c>
      <c r="P529" s="98">
        <v>1.9</v>
      </c>
      <c r="Q529" s="98">
        <v>-0.16</v>
      </c>
      <c r="R529" s="97">
        <v>7.1000000000000002E-4</v>
      </c>
      <c r="T529" s="98">
        <v>180</v>
      </c>
      <c r="U529" s="98">
        <v>110</v>
      </c>
      <c r="V529" s="98">
        <v>0.2</v>
      </c>
      <c r="W529" s="98">
        <v>1</v>
      </c>
      <c r="X529" s="98">
        <v>0.15</v>
      </c>
      <c r="Y529" s="98">
        <v>0.13</v>
      </c>
      <c r="Z529" s="98">
        <v>1.44</v>
      </c>
      <c r="AA529" s="98">
        <v>0.41</v>
      </c>
      <c r="AB529" s="98">
        <v>0.49</v>
      </c>
      <c r="AC529" s="98">
        <v>0.22</v>
      </c>
      <c r="AD529" s="98">
        <v>641</v>
      </c>
      <c r="AE529" s="98">
        <v>58</v>
      </c>
      <c r="AF529" s="95">
        <v>0.01</v>
      </c>
      <c r="AG529" s="98">
        <v>1.2E-2</v>
      </c>
      <c r="AH529" s="96">
        <v>9.0399999999999991</v>
      </c>
      <c r="AI529" s="96">
        <v>0.86</v>
      </c>
      <c r="AJ529" s="95">
        <v>7.3999999999999996E-2</v>
      </c>
      <c r="AK529" s="95">
        <v>4.3999999999999997E-2</v>
      </c>
      <c r="AL529" s="96">
        <v>1.5</v>
      </c>
      <c r="AM529" s="96">
        <v>0.45</v>
      </c>
      <c r="AN529" s="96">
        <v>1.67</v>
      </c>
      <c r="AO529" s="96">
        <v>0.6</v>
      </c>
      <c r="AP529" s="96">
        <v>0.64</v>
      </c>
      <c r="AQ529" s="96">
        <v>0.18</v>
      </c>
      <c r="AR529" s="96">
        <v>12.3</v>
      </c>
      <c r="AS529" s="93">
        <v>1.2</v>
      </c>
      <c r="AT529" s="96">
        <v>3.7</v>
      </c>
      <c r="AU529" s="96">
        <v>0.57999999999999996</v>
      </c>
      <c r="AV529" s="99">
        <v>45.1</v>
      </c>
      <c r="AW529" s="98">
        <v>5.2</v>
      </c>
      <c r="AX529" s="98">
        <v>17.8</v>
      </c>
      <c r="AY529" s="98">
        <v>1.9</v>
      </c>
      <c r="AZ529" s="98">
        <v>102</v>
      </c>
      <c r="BA529" s="98">
        <v>11</v>
      </c>
      <c r="BB529" s="98">
        <v>22.8</v>
      </c>
      <c r="BC529" s="98">
        <v>2.2999999999999998</v>
      </c>
      <c r="BD529" s="98">
        <v>230</v>
      </c>
      <c r="BE529" s="98">
        <v>22</v>
      </c>
      <c r="BF529" s="98">
        <v>49.9</v>
      </c>
      <c r="BG529" s="98">
        <v>4.5</v>
      </c>
      <c r="BI529" s="93">
        <v>3.1</v>
      </c>
      <c r="BJ529" s="98">
        <v>1.5</v>
      </c>
      <c r="BK529" s="98">
        <v>548000</v>
      </c>
      <c r="BL529" s="98">
        <v>51000</v>
      </c>
      <c r="BM529" s="98">
        <v>10800</v>
      </c>
      <c r="BN529" s="98">
        <v>1000</v>
      </c>
      <c r="BO529" s="99">
        <v>97</v>
      </c>
      <c r="BP529" s="98">
        <v>6.8</v>
      </c>
      <c r="BQ529" s="99">
        <v>132</v>
      </c>
      <c r="BR529" s="98">
        <v>10</v>
      </c>
      <c r="CD529" s="3"/>
      <c r="CE529" s="3"/>
      <c r="CF529" s="3"/>
      <c r="CL529" s="135"/>
    </row>
    <row r="530" spans="1:90" s="98" customFormat="1">
      <c r="A530" s="3" t="s">
        <v>638</v>
      </c>
      <c r="B530" s="3" t="s">
        <v>268</v>
      </c>
      <c r="C530" s="3"/>
      <c r="D530" s="93">
        <v>7.0190000000000001</v>
      </c>
      <c r="E530" s="94">
        <v>0.29920000000000002</v>
      </c>
      <c r="F530" s="94">
        <v>1.4E-3</v>
      </c>
      <c r="G530" s="95">
        <v>28.68</v>
      </c>
      <c r="H530" s="96">
        <v>0.7</v>
      </c>
      <c r="I530" s="97">
        <v>0.69689999999999996</v>
      </c>
      <c r="J530" s="95">
        <v>1.4999999999999999E-2</v>
      </c>
      <c r="K530" s="96">
        <v>0.63127</v>
      </c>
      <c r="M530" s="99">
        <v>3408.8</v>
      </c>
      <c r="N530" s="98">
        <v>57</v>
      </c>
      <c r="O530" s="99">
        <v>3466.8</v>
      </c>
      <c r="P530" s="98">
        <v>2.8</v>
      </c>
      <c r="Q530" s="98">
        <v>1.67</v>
      </c>
      <c r="R530" s="97">
        <v>1.18E-2</v>
      </c>
      <c r="T530" s="98">
        <v>83</v>
      </c>
      <c r="U530" s="98">
        <v>83</v>
      </c>
      <c r="V530" s="98" t="s">
        <v>250</v>
      </c>
      <c r="W530" s="98" t="s">
        <v>250</v>
      </c>
      <c r="X530" s="98">
        <v>0.09</v>
      </c>
      <c r="Y530" s="98">
        <v>0.12</v>
      </c>
      <c r="Z530" s="98">
        <v>1.1299999999999999</v>
      </c>
      <c r="AA530" s="98">
        <v>0.52</v>
      </c>
      <c r="AB530" s="98">
        <v>0.38</v>
      </c>
      <c r="AC530" s="98">
        <v>0.26</v>
      </c>
      <c r="AD530" s="98">
        <v>665</v>
      </c>
      <c r="AE530" s="98">
        <v>45</v>
      </c>
      <c r="AF530" s="95">
        <v>4.1999999999999997E-3</v>
      </c>
      <c r="AG530" s="98">
        <v>6.4000000000000003E-3</v>
      </c>
      <c r="AH530" s="96">
        <v>8.6999999999999993</v>
      </c>
      <c r="AI530" s="96">
        <v>1.2</v>
      </c>
      <c r="AJ530" s="95">
        <v>8.5999999999999993E-2</v>
      </c>
      <c r="AK530" s="95">
        <v>3.2000000000000001E-2</v>
      </c>
      <c r="AL530" s="96">
        <v>1.84</v>
      </c>
      <c r="AM530" s="96">
        <v>0.59</v>
      </c>
      <c r="AN530" s="96">
        <v>2.97</v>
      </c>
      <c r="AO530" s="96">
        <v>0.71</v>
      </c>
      <c r="AP530" s="96">
        <v>0.97</v>
      </c>
      <c r="AQ530" s="96">
        <v>0.23</v>
      </c>
      <c r="AR530" s="96">
        <v>14.2</v>
      </c>
      <c r="AS530" s="93">
        <v>2.2999999999999998</v>
      </c>
      <c r="AT530" s="96">
        <v>4.0599999999999996</v>
      </c>
      <c r="AU530" s="96">
        <v>0.42</v>
      </c>
      <c r="AV530" s="99">
        <v>52.8</v>
      </c>
      <c r="AW530" s="98">
        <v>7</v>
      </c>
      <c r="AX530" s="98">
        <v>22.1</v>
      </c>
      <c r="AY530" s="98">
        <v>1.8</v>
      </c>
      <c r="AZ530" s="98">
        <v>102</v>
      </c>
      <c r="BA530" s="98">
        <v>9.3000000000000007</v>
      </c>
      <c r="BB530" s="98">
        <v>23.6</v>
      </c>
      <c r="BC530" s="98">
        <v>2.5</v>
      </c>
      <c r="BD530" s="98">
        <v>222</v>
      </c>
      <c r="BE530" s="98">
        <v>17</v>
      </c>
      <c r="BF530" s="98">
        <v>48.1</v>
      </c>
      <c r="BG530" s="98">
        <v>3.1</v>
      </c>
      <c r="BI530" s="93">
        <v>7.4</v>
      </c>
      <c r="BJ530" s="98">
        <v>1.7</v>
      </c>
      <c r="BK530" s="98">
        <v>564000</v>
      </c>
      <c r="BL530" s="98">
        <v>43000</v>
      </c>
      <c r="BM530" s="98">
        <v>10340</v>
      </c>
      <c r="BN530" s="98">
        <v>480</v>
      </c>
      <c r="BO530" s="99">
        <v>73.900000000000006</v>
      </c>
      <c r="BP530" s="98">
        <v>3.3</v>
      </c>
      <c r="BQ530" s="99">
        <v>92.7</v>
      </c>
      <c r="BR530" s="98">
        <v>4.3</v>
      </c>
      <c r="CD530" s="3"/>
      <c r="CE530" s="3"/>
      <c r="CF530" s="3"/>
    </row>
    <row r="531" spans="1:90" s="98" customFormat="1">
      <c r="A531" s="3" t="s">
        <v>639</v>
      </c>
      <c r="B531" s="3" t="s">
        <v>268</v>
      </c>
      <c r="C531" s="3"/>
      <c r="D531" s="93">
        <v>7.0259999999999998</v>
      </c>
      <c r="E531" s="94">
        <v>0.2989</v>
      </c>
      <c r="F531" s="94">
        <v>1.2999999999999999E-3</v>
      </c>
      <c r="G531" s="95">
        <v>29</v>
      </c>
      <c r="H531" s="96">
        <v>0.71</v>
      </c>
      <c r="I531" s="97">
        <v>0.70540000000000003</v>
      </c>
      <c r="J531" s="95">
        <v>1.4999999999999999E-2</v>
      </c>
      <c r="K531" s="96">
        <v>0.57437000000000005</v>
      </c>
      <c r="M531" s="99">
        <v>3441</v>
      </c>
      <c r="N531" s="98">
        <v>57</v>
      </c>
      <c r="O531" s="99">
        <v>3465</v>
      </c>
      <c r="P531" s="98">
        <v>2.6</v>
      </c>
      <c r="Q531" s="98">
        <v>0.69</v>
      </c>
      <c r="R531" s="97">
        <v>4.7000000000000002E-3</v>
      </c>
      <c r="T531" s="98">
        <v>210</v>
      </c>
      <c r="U531" s="98">
        <v>110</v>
      </c>
      <c r="V531" s="98">
        <v>0.18</v>
      </c>
      <c r="W531" s="98">
        <v>0.85</v>
      </c>
      <c r="X531" s="98">
        <v>0.2</v>
      </c>
      <c r="Y531" s="98">
        <v>0.2</v>
      </c>
      <c r="Z531" s="98">
        <v>1.18</v>
      </c>
      <c r="AA531" s="98">
        <v>0.51</v>
      </c>
      <c r="AB531" s="98">
        <v>0.52</v>
      </c>
      <c r="AC531" s="98">
        <v>0.2</v>
      </c>
      <c r="AD531" s="98">
        <v>944</v>
      </c>
      <c r="AE531" s="98">
        <v>57</v>
      </c>
      <c r="AF531" s="95">
        <v>2.0999999999999999E-3</v>
      </c>
      <c r="AG531" s="98">
        <v>5.1999999999999998E-3</v>
      </c>
      <c r="AH531" s="96">
        <v>11.5</v>
      </c>
      <c r="AI531" s="96">
        <v>1.1000000000000001</v>
      </c>
      <c r="AJ531" s="95">
        <v>0.188</v>
      </c>
      <c r="AK531" s="95">
        <v>4.4999999999999998E-2</v>
      </c>
      <c r="AL531" s="96">
        <v>2.5</v>
      </c>
      <c r="AM531" s="96">
        <v>0.9</v>
      </c>
      <c r="AN531" s="96">
        <v>3.9</v>
      </c>
      <c r="AO531" s="96">
        <v>1.1000000000000001</v>
      </c>
      <c r="AP531" s="96">
        <v>1.1599999999999999</v>
      </c>
      <c r="AQ531" s="96">
        <v>0.5</v>
      </c>
      <c r="AR531" s="96">
        <v>19.100000000000001</v>
      </c>
      <c r="AS531" s="93">
        <v>2.7</v>
      </c>
      <c r="AT531" s="96">
        <v>5.44</v>
      </c>
      <c r="AU531" s="96">
        <v>0.73</v>
      </c>
      <c r="AV531" s="99">
        <v>70.099999999999994</v>
      </c>
      <c r="AW531" s="98">
        <v>6.4</v>
      </c>
      <c r="AX531" s="98">
        <v>27.1</v>
      </c>
      <c r="AY531" s="98">
        <v>1.9</v>
      </c>
      <c r="AZ531" s="98">
        <v>139</v>
      </c>
      <c r="BA531" s="98">
        <v>14</v>
      </c>
      <c r="BB531" s="98">
        <v>29.7</v>
      </c>
      <c r="BC531" s="98">
        <v>3</v>
      </c>
      <c r="BD531" s="98">
        <v>272</v>
      </c>
      <c r="BE531" s="98">
        <v>21</v>
      </c>
      <c r="BF531" s="98">
        <v>59.7</v>
      </c>
      <c r="BG531" s="98">
        <v>4.3</v>
      </c>
      <c r="BI531" s="93">
        <v>9.4</v>
      </c>
      <c r="BJ531" s="98">
        <v>3.5</v>
      </c>
      <c r="BK531" s="98">
        <v>556000</v>
      </c>
      <c r="BL531" s="98">
        <v>53000</v>
      </c>
      <c r="BM531" s="98">
        <v>9630</v>
      </c>
      <c r="BN531" s="98">
        <v>640</v>
      </c>
      <c r="BO531" s="99">
        <v>90.1</v>
      </c>
      <c r="BP531" s="98">
        <v>6.3</v>
      </c>
      <c r="BQ531" s="99">
        <v>110</v>
      </c>
      <c r="BR531" s="98">
        <v>7.9</v>
      </c>
      <c r="CD531" s="3"/>
      <c r="CE531" s="3"/>
      <c r="CF531" s="3"/>
    </row>
    <row r="532" spans="1:90" s="98" customFormat="1">
      <c r="A532" s="3" t="s">
        <v>640</v>
      </c>
      <c r="B532" s="3" t="s">
        <v>268</v>
      </c>
      <c r="C532" s="3"/>
      <c r="D532" s="93">
        <v>7.0030000000000001</v>
      </c>
      <c r="E532" s="94">
        <v>0.2984</v>
      </c>
      <c r="F532" s="94">
        <v>1.1999999999999999E-3</v>
      </c>
      <c r="G532" s="95">
        <v>29</v>
      </c>
      <c r="H532" s="96">
        <v>0.71</v>
      </c>
      <c r="I532" s="97">
        <v>0.70669999999999999</v>
      </c>
      <c r="J532" s="95">
        <v>1.4999999999999999E-2</v>
      </c>
      <c r="K532" s="96">
        <v>0.62956999999999996</v>
      </c>
      <c r="M532" s="99">
        <v>3446.1</v>
      </c>
      <c r="N532" s="98">
        <v>57</v>
      </c>
      <c r="O532" s="99">
        <v>3462.2</v>
      </c>
      <c r="P532" s="98">
        <v>2.6</v>
      </c>
      <c r="Q532" s="98">
        <v>0.46</v>
      </c>
      <c r="R532" s="97">
        <v>2.8E-3</v>
      </c>
      <c r="T532" s="98">
        <v>200</v>
      </c>
      <c r="U532" s="98">
        <v>96</v>
      </c>
      <c r="V532" s="98">
        <v>0.7</v>
      </c>
      <c r="W532" s="98">
        <v>1.3</v>
      </c>
      <c r="X532" s="98">
        <v>0.34</v>
      </c>
      <c r="Y532" s="98">
        <v>0.39</v>
      </c>
      <c r="Z532" s="98">
        <v>1.63</v>
      </c>
      <c r="AA532" s="98">
        <v>0.66</v>
      </c>
      <c r="AB532" s="98">
        <v>0.7</v>
      </c>
      <c r="AC532" s="98">
        <v>0.25</v>
      </c>
      <c r="AD532" s="98">
        <v>2030</v>
      </c>
      <c r="AE532" s="98">
        <v>170</v>
      </c>
      <c r="AF532" s="95">
        <v>5.2999999999999999E-2</v>
      </c>
      <c r="AG532" s="98">
        <v>2.1000000000000001E-2</v>
      </c>
      <c r="AH532" s="96">
        <v>15.5</v>
      </c>
      <c r="AI532" s="96">
        <v>1.8</v>
      </c>
      <c r="AJ532" s="95">
        <v>0.42</v>
      </c>
      <c r="AK532" s="95">
        <v>0.13</v>
      </c>
      <c r="AL532" s="96">
        <v>6.2</v>
      </c>
      <c r="AM532" s="96">
        <v>1.8</v>
      </c>
      <c r="AN532" s="96">
        <v>10.5</v>
      </c>
      <c r="AO532" s="96">
        <v>1.5</v>
      </c>
      <c r="AP532" s="96">
        <v>2.44</v>
      </c>
      <c r="AQ532" s="96">
        <v>0.4</v>
      </c>
      <c r="AR532" s="96">
        <v>44.1</v>
      </c>
      <c r="AS532" s="93">
        <v>7.5</v>
      </c>
      <c r="AT532" s="96">
        <v>14.2</v>
      </c>
      <c r="AU532" s="96">
        <v>1.5</v>
      </c>
      <c r="AV532" s="99">
        <v>171</v>
      </c>
      <c r="AW532" s="98">
        <v>15</v>
      </c>
      <c r="AX532" s="98">
        <v>65.400000000000006</v>
      </c>
      <c r="AY532" s="98">
        <v>6.8</v>
      </c>
      <c r="AZ532" s="98">
        <v>311</v>
      </c>
      <c r="BA532" s="98">
        <v>33</v>
      </c>
      <c r="BB532" s="98">
        <v>58.8</v>
      </c>
      <c r="BC532" s="98">
        <v>4.3</v>
      </c>
      <c r="BD532" s="98">
        <v>534</v>
      </c>
      <c r="BE532" s="98">
        <v>62</v>
      </c>
      <c r="BF532" s="98">
        <v>110.1</v>
      </c>
      <c r="BG532" s="98">
        <v>8.6</v>
      </c>
      <c r="BI532" s="93">
        <v>11.9</v>
      </c>
      <c r="BJ532" s="98">
        <v>3.1</v>
      </c>
      <c r="BK532" s="98">
        <v>559000</v>
      </c>
      <c r="BL532" s="98">
        <v>61000</v>
      </c>
      <c r="BM532" s="98">
        <v>9550</v>
      </c>
      <c r="BN532" s="98">
        <v>720</v>
      </c>
      <c r="BO532" s="99">
        <v>220</v>
      </c>
      <c r="BP532" s="98">
        <v>16</v>
      </c>
      <c r="BQ532" s="99">
        <v>194</v>
      </c>
      <c r="BR532" s="98">
        <v>14</v>
      </c>
      <c r="CD532" s="3"/>
      <c r="CE532" s="3"/>
      <c r="CF532" s="3"/>
    </row>
    <row r="533" spans="1:90" s="98" customFormat="1">
      <c r="A533" s="3" t="s">
        <v>641</v>
      </c>
      <c r="B533" s="3" t="s">
        <v>268</v>
      </c>
      <c r="C533" s="3"/>
      <c r="D533" s="93">
        <v>7.0839999999999996</v>
      </c>
      <c r="E533" s="94">
        <v>0.29899999999999999</v>
      </c>
      <c r="F533" s="94">
        <v>1E-3</v>
      </c>
      <c r="G533" s="95">
        <v>28.84</v>
      </c>
      <c r="H533" s="96">
        <v>0.69</v>
      </c>
      <c r="I533" s="97">
        <v>0.70150000000000001</v>
      </c>
      <c r="J533" s="95">
        <v>1.4999999999999999E-2</v>
      </c>
      <c r="K533" s="96">
        <v>0.40304000000000001</v>
      </c>
      <c r="M533" s="99">
        <v>3426.5</v>
      </c>
      <c r="N533" s="98">
        <v>57</v>
      </c>
      <c r="O533" s="99">
        <v>3465.4</v>
      </c>
      <c r="P533" s="98">
        <v>2.8</v>
      </c>
      <c r="Q533" s="98">
        <v>1.1200000000000001</v>
      </c>
      <c r="R533" s="97">
        <v>7.6E-3</v>
      </c>
      <c r="T533" s="98">
        <v>90</v>
      </c>
      <c r="U533" s="98">
        <v>62</v>
      </c>
      <c r="V533" s="98" t="s">
        <v>250</v>
      </c>
      <c r="W533" s="98" t="s">
        <v>250</v>
      </c>
      <c r="X533" s="98">
        <v>0.23</v>
      </c>
      <c r="Y533" s="98">
        <v>0.17</v>
      </c>
      <c r="Z533" s="98">
        <v>0.84</v>
      </c>
      <c r="AA533" s="98">
        <v>0.39</v>
      </c>
      <c r="AB533" s="98">
        <v>0.41</v>
      </c>
      <c r="AC533" s="98">
        <v>0.25</v>
      </c>
      <c r="AD533" s="98">
        <v>1053</v>
      </c>
      <c r="AE533" s="98">
        <v>87</v>
      </c>
      <c r="AF533" s="95">
        <v>2E-3</v>
      </c>
      <c r="AG533" s="98">
        <v>5.1000000000000004E-3</v>
      </c>
      <c r="AH533" s="96">
        <v>12.6</v>
      </c>
      <c r="AI533" s="96">
        <v>1.5</v>
      </c>
      <c r="AJ533" s="95">
        <v>0.14499999999999999</v>
      </c>
      <c r="AK533" s="95">
        <v>4.2000000000000003E-2</v>
      </c>
      <c r="AL533" s="96">
        <v>2.17</v>
      </c>
      <c r="AM533" s="96">
        <v>0.75</v>
      </c>
      <c r="AN533" s="96">
        <v>5.03</v>
      </c>
      <c r="AO533" s="96">
        <v>0.78</v>
      </c>
      <c r="AP533" s="96">
        <v>1.53</v>
      </c>
      <c r="AQ533" s="96">
        <v>0.42</v>
      </c>
      <c r="AR533" s="96">
        <v>27.1</v>
      </c>
      <c r="AS533" s="93">
        <v>4.3</v>
      </c>
      <c r="AT533" s="96">
        <v>7.59</v>
      </c>
      <c r="AU533" s="96">
        <v>0.85</v>
      </c>
      <c r="AV533" s="99">
        <v>94.3</v>
      </c>
      <c r="AW533" s="98">
        <v>7.5</v>
      </c>
      <c r="AX533" s="98">
        <v>33.1</v>
      </c>
      <c r="AY533" s="98">
        <v>2</v>
      </c>
      <c r="AZ533" s="98">
        <v>155</v>
      </c>
      <c r="BA533" s="98">
        <v>15</v>
      </c>
      <c r="BB533" s="98">
        <v>32.5</v>
      </c>
      <c r="BC533" s="98">
        <v>2.7</v>
      </c>
      <c r="BD533" s="98">
        <v>313</v>
      </c>
      <c r="BE533" s="98">
        <v>25</v>
      </c>
      <c r="BF533" s="98">
        <v>63.1</v>
      </c>
      <c r="BG533" s="98">
        <v>3.7</v>
      </c>
      <c r="BI533" s="93">
        <v>7.2</v>
      </c>
      <c r="BJ533" s="98">
        <v>2.9</v>
      </c>
      <c r="BK533" s="98">
        <v>558000</v>
      </c>
      <c r="BL533" s="98">
        <v>39000</v>
      </c>
      <c r="BM533" s="98">
        <v>10000</v>
      </c>
      <c r="BN533" s="98">
        <v>610</v>
      </c>
      <c r="BO533" s="99">
        <v>121.3</v>
      </c>
      <c r="BP533" s="98">
        <v>8.4</v>
      </c>
      <c r="BQ533" s="99">
        <v>116.4</v>
      </c>
      <c r="BR533" s="98">
        <v>8</v>
      </c>
      <c r="CD533" s="3"/>
      <c r="CE533" s="3"/>
      <c r="CF533" s="3"/>
    </row>
    <row r="534" spans="1:90" s="98" customFormat="1">
      <c r="A534" s="3" t="s">
        <v>642</v>
      </c>
      <c r="B534" s="3" t="s">
        <v>268</v>
      </c>
      <c r="C534" s="3"/>
      <c r="D534" s="93">
        <v>7.0119999999999996</v>
      </c>
      <c r="E534" s="94">
        <v>0.29930000000000001</v>
      </c>
      <c r="F534" s="94">
        <v>1.1999999999999999E-3</v>
      </c>
      <c r="G534" s="95">
        <v>29.74</v>
      </c>
      <c r="H534" s="96">
        <v>0.72</v>
      </c>
      <c r="I534" s="97">
        <v>0.7228</v>
      </c>
      <c r="J534" s="95">
        <v>1.6E-2</v>
      </c>
      <c r="K534" s="96">
        <v>0.57333000000000001</v>
      </c>
      <c r="M534" s="99">
        <v>3506.4</v>
      </c>
      <c r="N534" s="98">
        <v>58</v>
      </c>
      <c r="O534" s="99">
        <v>3466.8</v>
      </c>
      <c r="P534" s="98">
        <v>2.2000000000000002</v>
      </c>
      <c r="Q534" s="98">
        <v>-1.1399999999999999</v>
      </c>
      <c r="R534" s="97">
        <v>0</v>
      </c>
      <c r="T534" s="98">
        <v>218</v>
      </c>
      <c r="U534" s="98">
        <v>73</v>
      </c>
      <c r="V534" s="98">
        <v>0.1</v>
      </c>
      <c r="W534" s="98">
        <v>1.2</v>
      </c>
      <c r="X534" s="98">
        <v>0.17</v>
      </c>
      <c r="Y534" s="98">
        <v>0.15</v>
      </c>
      <c r="Z534" s="98">
        <v>1.8</v>
      </c>
      <c r="AA534" s="98">
        <v>0.48</v>
      </c>
      <c r="AB534" s="98">
        <v>0.65</v>
      </c>
      <c r="AC534" s="98">
        <v>0.32</v>
      </c>
      <c r="AD534" s="98">
        <v>654</v>
      </c>
      <c r="AE534" s="98">
        <v>52</v>
      </c>
      <c r="AF534" s="95">
        <v>0.03</v>
      </c>
      <c r="AG534" s="98">
        <v>2.4E-2</v>
      </c>
      <c r="AH534" s="96">
        <v>12.9</v>
      </c>
      <c r="AI534" s="96">
        <v>1.6</v>
      </c>
      <c r="AJ534" s="95">
        <v>5.1999999999999998E-2</v>
      </c>
      <c r="AK534" s="95">
        <v>2.4E-2</v>
      </c>
      <c r="AL534" s="96">
        <v>0.99</v>
      </c>
      <c r="AM534" s="96">
        <v>0.4</v>
      </c>
      <c r="AN534" s="96">
        <v>2.0699999999999998</v>
      </c>
      <c r="AO534" s="96">
        <v>0.89</v>
      </c>
      <c r="AP534" s="96">
        <v>0.8</v>
      </c>
      <c r="AQ534" s="96">
        <v>0.18</v>
      </c>
      <c r="AR534" s="96">
        <v>13.8</v>
      </c>
      <c r="AS534" s="93">
        <v>3.2</v>
      </c>
      <c r="AT534" s="96">
        <v>4.13</v>
      </c>
      <c r="AU534" s="96">
        <v>0.47</v>
      </c>
      <c r="AV534" s="99">
        <v>50.7</v>
      </c>
      <c r="AW534" s="98">
        <v>5</v>
      </c>
      <c r="AX534" s="98">
        <v>21.1</v>
      </c>
      <c r="AY534" s="98">
        <v>1.4</v>
      </c>
      <c r="AZ534" s="98">
        <v>102</v>
      </c>
      <c r="BA534" s="98">
        <v>11</v>
      </c>
      <c r="BB534" s="98">
        <v>21.7</v>
      </c>
      <c r="BC534" s="98">
        <v>2</v>
      </c>
      <c r="BD534" s="98">
        <v>207</v>
      </c>
      <c r="BE534" s="98">
        <v>13</v>
      </c>
      <c r="BF534" s="98">
        <v>45.7</v>
      </c>
      <c r="BG534" s="98">
        <v>3.5</v>
      </c>
      <c r="BI534" s="93">
        <v>10.199999999999999</v>
      </c>
      <c r="BJ534" s="98">
        <v>2.4</v>
      </c>
      <c r="BK534" s="98">
        <v>540000</v>
      </c>
      <c r="BL534" s="98">
        <v>46000</v>
      </c>
      <c r="BM534" s="98">
        <v>9580</v>
      </c>
      <c r="BN534" s="98">
        <v>580</v>
      </c>
      <c r="BO534" s="99">
        <v>90.9</v>
      </c>
      <c r="BP534" s="98">
        <v>4.9000000000000004</v>
      </c>
      <c r="BQ534" s="99">
        <v>133.6</v>
      </c>
      <c r="BR534" s="98">
        <v>7.2</v>
      </c>
      <c r="CD534" s="3"/>
      <c r="CE534" s="3"/>
      <c r="CF534" s="3"/>
    </row>
    <row r="535" spans="1:90" s="98" customFormat="1">
      <c r="A535" s="3" t="s">
        <v>643</v>
      </c>
      <c r="B535" s="3" t="s">
        <v>268</v>
      </c>
      <c r="C535" s="3"/>
      <c r="D535" s="93">
        <v>7.0039999999999996</v>
      </c>
      <c r="E535" s="94">
        <v>0.2994</v>
      </c>
      <c r="F535" s="94">
        <v>1.6000000000000001E-3</v>
      </c>
      <c r="G535" s="95">
        <v>29.55</v>
      </c>
      <c r="H535" s="96">
        <v>0.72</v>
      </c>
      <c r="I535" s="97">
        <v>0.71779999999999999</v>
      </c>
      <c r="J535" s="95">
        <v>1.4999999999999999E-2</v>
      </c>
      <c r="K535" s="96">
        <v>0.32615</v>
      </c>
      <c r="M535" s="99">
        <v>3487.6</v>
      </c>
      <c r="N535" s="98">
        <v>58</v>
      </c>
      <c r="O535" s="99">
        <v>3465.7</v>
      </c>
      <c r="P535" s="98">
        <v>4.3</v>
      </c>
      <c r="Q535" s="98">
        <v>-0.63</v>
      </c>
      <c r="R535" s="97">
        <v>-1.2E-4</v>
      </c>
      <c r="T535" s="98">
        <v>206</v>
      </c>
      <c r="U535" s="98">
        <v>88</v>
      </c>
      <c r="V535" s="98">
        <v>0.2</v>
      </c>
      <c r="W535" s="98">
        <v>1.1000000000000001</v>
      </c>
      <c r="X535" s="98">
        <v>0.09</v>
      </c>
      <c r="Y535" s="98">
        <v>0.13</v>
      </c>
      <c r="Z535" s="98">
        <v>1.1499999999999999</v>
      </c>
      <c r="AA535" s="98">
        <v>0.48</v>
      </c>
      <c r="AB535" s="98">
        <v>0.42</v>
      </c>
      <c r="AC535" s="98">
        <v>0.23</v>
      </c>
      <c r="AD535" s="98">
        <v>808</v>
      </c>
      <c r="AE535" s="98">
        <v>76</v>
      </c>
      <c r="AF535" s="95">
        <v>3.2000000000000001E-2</v>
      </c>
      <c r="AG535" s="98">
        <v>2.3E-2</v>
      </c>
      <c r="AH535" s="96">
        <v>10.199999999999999</v>
      </c>
      <c r="AI535" s="96">
        <v>1.7</v>
      </c>
      <c r="AJ535" s="95">
        <v>9.0999999999999998E-2</v>
      </c>
      <c r="AK535" s="95">
        <v>4.2000000000000003E-2</v>
      </c>
      <c r="AL535" s="96">
        <v>1.72</v>
      </c>
      <c r="AM535" s="96">
        <v>0.5</v>
      </c>
      <c r="AN535" s="96">
        <v>3.32</v>
      </c>
      <c r="AO535" s="96">
        <v>0.95</v>
      </c>
      <c r="AP535" s="96">
        <v>1.1399999999999999</v>
      </c>
      <c r="AQ535" s="96">
        <v>0.26</v>
      </c>
      <c r="AR535" s="96">
        <v>17.7</v>
      </c>
      <c r="AS535" s="93">
        <v>3.3</v>
      </c>
      <c r="AT535" s="96">
        <v>5.26</v>
      </c>
      <c r="AU535" s="96">
        <v>0.59</v>
      </c>
      <c r="AV535" s="99">
        <v>65.7</v>
      </c>
      <c r="AW535" s="98">
        <v>8.4</v>
      </c>
      <c r="AX535" s="98">
        <v>24.2</v>
      </c>
      <c r="AY535" s="98">
        <v>2.7</v>
      </c>
      <c r="AZ535" s="98">
        <v>123</v>
      </c>
      <c r="BA535" s="98">
        <v>11</v>
      </c>
      <c r="BB535" s="98">
        <v>27.1</v>
      </c>
      <c r="BC535" s="98">
        <v>2.6</v>
      </c>
      <c r="BD535" s="98">
        <v>266</v>
      </c>
      <c r="BE535" s="98">
        <v>30</v>
      </c>
      <c r="BF535" s="98">
        <v>57.5</v>
      </c>
      <c r="BG535" s="98">
        <v>5.9</v>
      </c>
      <c r="BI535" s="93">
        <v>6.7</v>
      </c>
      <c r="BJ535" s="98">
        <v>3</v>
      </c>
      <c r="BK535" s="98">
        <v>566000</v>
      </c>
      <c r="BL535" s="98">
        <v>81000</v>
      </c>
      <c r="BM535" s="98">
        <v>9800</v>
      </c>
      <c r="BN535" s="98">
        <v>1300</v>
      </c>
      <c r="BO535" s="99">
        <v>85</v>
      </c>
      <c r="BP535" s="98">
        <v>6.7</v>
      </c>
      <c r="BQ535" s="99">
        <v>104.3</v>
      </c>
      <c r="BR535" s="98">
        <v>8.9</v>
      </c>
      <c r="CD535" s="3"/>
      <c r="CE535" s="3"/>
      <c r="CF535" s="3"/>
      <c r="CL535" s="135"/>
    </row>
    <row r="536" spans="1:90" s="98" customFormat="1">
      <c r="A536" s="3" t="s">
        <v>644</v>
      </c>
      <c r="B536" s="3" t="s">
        <v>268</v>
      </c>
      <c r="C536" s="3"/>
      <c r="D536" s="93">
        <v>7.0039999999999996</v>
      </c>
      <c r="E536" s="94">
        <v>0.29880000000000001</v>
      </c>
      <c r="F536" s="94">
        <v>1.1000000000000001E-3</v>
      </c>
      <c r="G536" s="95">
        <v>28.78</v>
      </c>
      <c r="H536" s="96">
        <v>0.7</v>
      </c>
      <c r="I536" s="97">
        <v>0.70020000000000004</v>
      </c>
      <c r="J536" s="95">
        <v>1.4999999999999999E-2</v>
      </c>
      <c r="K536" s="96">
        <v>0.56991999999999998</v>
      </c>
      <c r="M536" s="99">
        <v>3421.6</v>
      </c>
      <c r="N536" s="98">
        <v>57</v>
      </c>
      <c r="O536" s="99">
        <v>3464.1</v>
      </c>
      <c r="P536" s="98">
        <v>1.9</v>
      </c>
      <c r="Q536" s="98">
        <v>1.24</v>
      </c>
      <c r="R536" s="97">
        <v>8.5000000000000006E-3</v>
      </c>
      <c r="T536" s="98">
        <v>297</v>
      </c>
      <c r="U536" s="98">
        <v>80</v>
      </c>
      <c r="V536" s="98" t="s">
        <v>250</v>
      </c>
      <c r="W536" s="98" t="s">
        <v>250</v>
      </c>
      <c r="X536" s="98">
        <v>0.13</v>
      </c>
      <c r="Y536" s="98">
        <v>0.14000000000000001</v>
      </c>
      <c r="Z536" s="98">
        <v>1.23</v>
      </c>
      <c r="AA536" s="98">
        <v>0.4</v>
      </c>
      <c r="AB536" s="98">
        <v>0.56999999999999995</v>
      </c>
      <c r="AC536" s="98">
        <v>0.23</v>
      </c>
      <c r="AD536" s="98">
        <v>717</v>
      </c>
      <c r="AE536" s="98">
        <v>51</v>
      </c>
      <c r="AF536" s="95">
        <v>0.127</v>
      </c>
      <c r="AG536" s="98">
        <v>6.7000000000000004E-2</v>
      </c>
      <c r="AH536" s="96">
        <v>14.1</v>
      </c>
      <c r="AI536" s="96">
        <v>1.5</v>
      </c>
      <c r="AJ536" s="95">
        <v>0.25</v>
      </c>
      <c r="AK536" s="95">
        <v>0.1</v>
      </c>
      <c r="AL536" s="96">
        <v>2.9</v>
      </c>
      <c r="AM536" s="96">
        <v>1</v>
      </c>
      <c r="AN536" s="96">
        <v>2.88</v>
      </c>
      <c r="AO536" s="96">
        <v>0.87</v>
      </c>
      <c r="AP536" s="96">
        <v>0.9</v>
      </c>
      <c r="AQ536" s="96">
        <v>0.26</v>
      </c>
      <c r="AR536" s="96">
        <v>13.3</v>
      </c>
      <c r="AS536" s="93">
        <v>2.8</v>
      </c>
      <c r="AT536" s="96">
        <v>4.3899999999999997</v>
      </c>
      <c r="AU536" s="96">
        <v>0.44</v>
      </c>
      <c r="AV536" s="99">
        <v>54.3</v>
      </c>
      <c r="AW536" s="98">
        <v>5.3</v>
      </c>
      <c r="AX536" s="98">
        <v>20.7</v>
      </c>
      <c r="AY536" s="98">
        <v>2.1</v>
      </c>
      <c r="AZ536" s="98">
        <v>108.4</v>
      </c>
      <c r="BA536" s="98">
        <v>8.8000000000000007</v>
      </c>
      <c r="BB536" s="98">
        <v>25.7</v>
      </c>
      <c r="BC536" s="98">
        <v>2.2000000000000002</v>
      </c>
      <c r="BD536" s="98">
        <v>236</v>
      </c>
      <c r="BE536" s="98">
        <v>19</v>
      </c>
      <c r="BF536" s="98">
        <v>49.8</v>
      </c>
      <c r="BG536" s="98">
        <v>4.3</v>
      </c>
      <c r="BI536" s="93">
        <v>10.9</v>
      </c>
      <c r="BJ536" s="98">
        <v>3.4</v>
      </c>
      <c r="BK536" s="98">
        <v>575000</v>
      </c>
      <c r="BL536" s="98">
        <v>46000</v>
      </c>
      <c r="BM536" s="98">
        <v>9720</v>
      </c>
      <c r="BN536" s="98">
        <v>920</v>
      </c>
      <c r="BO536" s="99">
        <v>103.7</v>
      </c>
      <c r="BP536" s="98">
        <v>8</v>
      </c>
      <c r="BQ536" s="99">
        <v>158</v>
      </c>
      <c r="BR536" s="98">
        <v>13</v>
      </c>
      <c r="CD536" s="3"/>
      <c r="CE536" s="3"/>
      <c r="CF536" s="3"/>
    </row>
    <row r="537" spans="1:90" s="98" customFormat="1">
      <c r="A537" s="3" t="s">
        <v>645</v>
      </c>
      <c r="B537" s="3" t="s">
        <v>268</v>
      </c>
      <c r="C537" s="3"/>
      <c r="D537" s="93">
        <v>7.0410000000000004</v>
      </c>
      <c r="E537" s="94">
        <v>0.2994</v>
      </c>
      <c r="F537" s="94">
        <v>1.2999999999999999E-3</v>
      </c>
      <c r="G537" s="95">
        <v>29.12</v>
      </c>
      <c r="H537" s="96">
        <v>0.71</v>
      </c>
      <c r="I537" s="97">
        <v>0.70709999999999995</v>
      </c>
      <c r="J537" s="95">
        <v>1.4999999999999999E-2</v>
      </c>
      <c r="K537" s="96">
        <v>0.49812000000000001</v>
      </c>
      <c r="M537" s="99">
        <v>3447.4</v>
      </c>
      <c r="N537" s="98">
        <v>57</v>
      </c>
      <c r="O537" s="99">
        <v>3466.9</v>
      </c>
      <c r="P537" s="98">
        <v>3.5</v>
      </c>
      <c r="Q537" s="98">
        <v>0.62</v>
      </c>
      <c r="R537" s="97">
        <v>3.8999999999999998E-3</v>
      </c>
      <c r="T537" s="98">
        <v>360</v>
      </c>
      <c r="U537" s="98">
        <v>150</v>
      </c>
      <c r="V537" s="98">
        <v>0.49</v>
      </c>
      <c r="W537" s="98">
        <v>0.91</v>
      </c>
      <c r="X537" s="98">
        <v>0.21</v>
      </c>
      <c r="Y537" s="98">
        <v>0.19</v>
      </c>
      <c r="Z537" s="98">
        <v>1.81</v>
      </c>
      <c r="AA537" s="98">
        <v>0.72</v>
      </c>
      <c r="AB537" s="98">
        <v>1.06</v>
      </c>
      <c r="AC537" s="98">
        <v>0.36</v>
      </c>
      <c r="AD537" s="98">
        <v>2160</v>
      </c>
      <c r="AE537" s="98">
        <v>220</v>
      </c>
      <c r="AF537" s="95">
        <v>5.8000000000000003E-2</v>
      </c>
      <c r="AG537" s="98">
        <v>0.03</v>
      </c>
      <c r="AH537" s="96">
        <v>19</v>
      </c>
      <c r="AI537" s="96">
        <v>2.2000000000000002</v>
      </c>
      <c r="AJ537" s="95">
        <v>0.38500000000000001</v>
      </c>
      <c r="AK537" s="95">
        <v>8.5000000000000006E-2</v>
      </c>
      <c r="AL537" s="96">
        <v>6</v>
      </c>
      <c r="AM537" s="96">
        <v>1.1000000000000001</v>
      </c>
      <c r="AN537" s="96">
        <v>8.6</v>
      </c>
      <c r="AO537" s="96">
        <v>1.5</v>
      </c>
      <c r="AP537" s="96">
        <v>3.09</v>
      </c>
      <c r="AQ537" s="96">
        <v>0.6</v>
      </c>
      <c r="AR537" s="96">
        <v>51</v>
      </c>
      <c r="AS537" s="93">
        <v>6.8</v>
      </c>
      <c r="AT537" s="96">
        <v>16.399999999999999</v>
      </c>
      <c r="AU537" s="96">
        <v>1.4</v>
      </c>
      <c r="AV537" s="99">
        <v>189</v>
      </c>
      <c r="AW537" s="98">
        <v>14</v>
      </c>
      <c r="AX537" s="98">
        <v>70.599999999999994</v>
      </c>
      <c r="AY537" s="98">
        <v>6.8</v>
      </c>
      <c r="AZ537" s="98">
        <v>331</v>
      </c>
      <c r="BA537" s="98">
        <v>28</v>
      </c>
      <c r="BB537" s="98">
        <v>65.5</v>
      </c>
      <c r="BC537" s="98">
        <v>7.6</v>
      </c>
      <c r="BD537" s="98">
        <v>571</v>
      </c>
      <c r="BE537" s="98">
        <v>50</v>
      </c>
      <c r="BF537" s="98">
        <v>119</v>
      </c>
      <c r="BG537" s="98">
        <v>11</v>
      </c>
      <c r="BI537" s="93">
        <v>10.9</v>
      </c>
      <c r="BJ537" s="98">
        <v>3</v>
      </c>
      <c r="BK537" s="98">
        <v>573000</v>
      </c>
      <c r="BL537" s="98">
        <v>60000</v>
      </c>
      <c r="BM537" s="98">
        <v>9190</v>
      </c>
      <c r="BN537" s="98">
        <v>840</v>
      </c>
      <c r="BO537" s="99">
        <v>254</v>
      </c>
      <c r="BP537" s="98">
        <v>23</v>
      </c>
      <c r="BQ537" s="99">
        <v>220</v>
      </c>
      <c r="BR537" s="98">
        <v>21</v>
      </c>
      <c r="CD537" s="3"/>
      <c r="CE537" s="3"/>
      <c r="CF537" s="3"/>
    </row>
    <row r="538" spans="1:90" s="98" customFormat="1">
      <c r="A538" s="3" t="s">
        <v>646</v>
      </c>
      <c r="B538" s="3" t="s">
        <v>268</v>
      </c>
      <c r="C538" s="3"/>
      <c r="D538" s="93">
        <v>7.0119999999999996</v>
      </c>
      <c r="E538" s="94">
        <v>0.2994</v>
      </c>
      <c r="F538" s="94">
        <v>1.1999999999999999E-3</v>
      </c>
      <c r="G538" s="95">
        <v>29.05</v>
      </c>
      <c r="H538" s="96">
        <v>0.71</v>
      </c>
      <c r="I538" s="97">
        <v>0.70530000000000004</v>
      </c>
      <c r="J538" s="95">
        <v>1.4999999999999999E-2</v>
      </c>
      <c r="K538" s="96">
        <v>0.69181999999999999</v>
      </c>
      <c r="M538" s="99">
        <v>3440.8</v>
      </c>
      <c r="N538" s="98">
        <v>58</v>
      </c>
      <c r="O538" s="99">
        <v>3466.6</v>
      </c>
      <c r="P538" s="98">
        <v>1.7</v>
      </c>
      <c r="Q538" s="98">
        <v>0.79</v>
      </c>
      <c r="R538" s="97">
        <v>5.1999999999999998E-3</v>
      </c>
      <c r="T538" s="98">
        <v>550</v>
      </c>
      <c r="U538" s="98">
        <v>130</v>
      </c>
      <c r="V538" s="98">
        <v>0.4</v>
      </c>
      <c r="W538" s="98">
        <v>1.1000000000000001</v>
      </c>
      <c r="X538" s="98">
        <v>0.36</v>
      </c>
      <c r="Y538" s="98">
        <v>0.22</v>
      </c>
      <c r="Z538" s="98">
        <v>2.76</v>
      </c>
      <c r="AA538" s="98">
        <v>0.88</v>
      </c>
      <c r="AB538" s="98">
        <v>1.01</v>
      </c>
      <c r="AC538" s="98">
        <v>0.26</v>
      </c>
      <c r="AD538" s="98">
        <v>3660</v>
      </c>
      <c r="AE538" s="98">
        <v>330</v>
      </c>
      <c r="AF538" s="95">
        <v>8.5000000000000006E-2</v>
      </c>
      <c r="AG538" s="98">
        <v>0.02</v>
      </c>
      <c r="AH538" s="96">
        <v>35.9</v>
      </c>
      <c r="AI538" s="96">
        <v>2.5</v>
      </c>
      <c r="AJ538" s="95">
        <v>0.72</v>
      </c>
      <c r="AK538" s="95">
        <v>0.12</v>
      </c>
      <c r="AL538" s="96">
        <v>10.4</v>
      </c>
      <c r="AM538" s="96">
        <v>1.5</v>
      </c>
      <c r="AN538" s="96">
        <v>23.1</v>
      </c>
      <c r="AO538" s="96">
        <v>3.3</v>
      </c>
      <c r="AP538" s="96">
        <v>5.13</v>
      </c>
      <c r="AQ538" s="96">
        <v>0.79</v>
      </c>
      <c r="AR538" s="96">
        <v>103.3</v>
      </c>
      <c r="AS538" s="93">
        <v>9.5</v>
      </c>
      <c r="AT538" s="96">
        <v>31.5</v>
      </c>
      <c r="AU538" s="96">
        <v>2.9</v>
      </c>
      <c r="AV538" s="99">
        <v>354</v>
      </c>
      <c r="AW538" s="98">
        <v>23</v>
      </c>
      <c r="AX538" s="98">
        <v>129.5</v>
      </c>
      <c r="AY538" s="98">
        <v>9.1999999999999993</v>
      </c>
      <c r="AZ538" s="98">
        <v>577</v>
      </c>
      <c r="BA538" s="98">
        <v>44</v>
      </c>
      <c r="BB538" s="98">
        <v>108.9</v>
      </c>
      <c r="BC538" s="98">
        <v>9.6</v>
      </c>
      <c r="BD538" s="98">
        <v>918</v>
      </c>
      <c r="BE538" s="98">
        <v>78</v>
      </c>
      <c r="BF538" s="98">
        <v>186</v>
      </c>
      <c r="BG538" s="98">
        <v>19</v>
      </c>
      <c r="BI538" s="93">
        <v>15.4</v>
      </c>
      <c r="BJ538" s="98">
        <v>3.2</v>
      </c>
      <c r="BK538" s="98">
        <v>578000</v>
      </c>
      <c r="BL538" s="98">
        <v>52000</v>
      </c>
      <c r="BM538" s="98">
        <v>8870</v>
      </c>
      <c r="BN538" s="98">
        <v>690</v>
      </c>
      <c r="BO538" s="99">
        <v>490</v>
      </c>
      <c r="BP538" s="98">
        <v>34</v>
      </c>
      <c r="BQ538" s="99">
        <v>331</v>
      </c>
      <c r="BR538" s="98">
        <v>23</v>
      </c>
      <c r="CD538" s="3"/>
      <c r="CE538" s="3"/>
      <c r="CF538" s="3"/>
    </row>
    <row r="539" spans="1:90" s="98" customFormat="1">
      <c r="A539" s="3" t="s">
        <v>648</v>
      </c>
      <c r="B539" s="3" t="s">
        <v>268</v>
      </c>
      <c r="C539" s="3"/>
      <c r="D539" s="93">
        <v>7.0060000000000002</v>
      </c>
      <c r="E539" s="94">
        <v>0.2984</v>
      </c>
      <c r="F539" s="94">
        <v>1.1000000000000001E-3</v>
      </c>
      <c r="G539" s="95">
        <v>29.02</v>
      </c>
      <c r="H539" s="96">
        <v>0.7</v>
      </c>
      <c r="I539" s="97">
        <v>0.70820000000000005</v>
      </c>
      <c r="J539" s="95">
        <v>1.4999999999999999E-2</v>
      </c>
      <c r="K539" s="96">
        <v>0.75846999999999998</v>
      </c>
      <c r="M539" s="99">
        <v>3451.7</v>
      </c>
      <c r="N539" s="98">
        <v>58</v>
      </c>
      <c r="O539" s="99">
        <v>3461.4</v>
      </c>
      <c r="P539" s="98">
        <v>2.6</v>
      </c>
      <c r="Q539" s="98">
        <v>0.28000000000000003</v>
      </c>
      <c r="R539" s="97">
        <v>2.5999999999999999E-3</v>
      </c>
      <c r="T539" s="98">
        <v>190</v>
      </c>
      <c r="U539" s="98">
        <v>110</v>
      </c>
      <c r="V539" s="98" t="s">
        <v>250</v>
      </c>
      <c r="W539" s="98" t="s">
        <v>250</v>
      </c>
      <c r="X539" s="98">
        <v>0.14000000000000001</v>
      </c>
      <c r="Y539" s="98">
        <v>0.2</v>
      </c>
      <c r="Z539" s="98">
        <v>1.02</v>
      </c>
      <c r="AA539" s="98">
        <v>0.32</v>
      </c>
      <c r="AB539" s="98">
        <v>0.53</v>
      </c>
      <c r="AC539" s="98">
        <v>0.33</v>
      </c>
      <c r="AD539" s="98">
        <v>1530</v>
      </c>
      <c r="AE539" s="98">
        <v>150</v>
      </c>
      <c r="AF539" s="95">
        <v>0.06</v>
      </c>
      <c r="AG539" s="98">
        <v>3.5000000000000003E-2</v>
      </c>
      <c r="AH539" s="96">
        <v>14.4</v>
      </c>
      <c r="AI539" s="96">
        <v>1.4</v>
      </c>
      <c r="AJ539" s="95">
        <v>0.4</v>
      </c>
      <c r="AK539" s="95">
        <v>0.1</v>
      </c>
      <c r="AL539" s="96">
        <v>6.5</v>
      </c>
      <c r="AM539" s="96">
        <v>1.7</v>
      </c>
      <c r="AN539" s="96">
        <v>6.6</v>
      </c>
      <c r="AO539" s="96">
        <v>1.5</v>
      </c>
      <c r="AP539" s="96">
        <v>2.29</v>
      </c>
      <c r="AQ539" s="96">
        <v>0.48</v>
      </c>
      <c r="AR539" s="96">
        <v>33.6</v>
      </c>
      <c r="AS539" s="93">
        <v>7.3</v>
      </c>
      <c r="AT539" s="96">
        <v>10.4</v>
      </c>
      <c r="AU539" s="96">
        <v>1.2</v>
      </c>
      <c r="AV539" s="99">
        <v>128</v>
      </c>
      <c r="AW539" s="98">
        <v>13</v>
      </c>
      <c r="AX539" s="98">
        <v>47.8</v>
      </c>
      <c r="AY539" s="98">
        <v>5.6</v>
      </c>
      <c r="AZ539" s="98">
        <v>231</v>
      </c>
      <c r="BA539" s="98">
        <v>22</v>
      </c>
      <c r="BB539" s="98">
        <v>46.8</v>
      </c>
      <c r="BC539" s="98">
        <v>5.3</v>
      </c>
      <c r="BD539" s="98">
        <v>432</v>
      </c>
      <c r="BE539" s="98">
        <v>38</v>
      </c>
      <c r="BF539" s="98">
        <v>87</v>
      </c>
      <c r="BG539" s="98">
        <v>9.5</v>
      </c>
      <c r="BI539" s="93">
        <v>8.6999999999999993</v>
      </c>
      <c r="BJ539" s="98">
        <v>2.9</v>
      </c>
      <c r="BK539" s="98">
        <v>527000</v>
      </c>
      <c r="BL539" s="98">
        <v>60000</v>
      </c>
      <c r="BM539" s="98">
        <v>9500</v>
      </c>
      <c r="BN539" s="98">
        <v>1100</v>
      </c>
      <c r="BO539" s="99">
        <v>173</v>
      </c>
      <c r="BP539" s="98">
        <v>15</v>
      </c>
      <c r="BQ539" s="99">
        <v>163</v>
      </c>
      <c r="BR539" s="98">
        <v>15</v>
      </c>
      <c r="CD539" s="3"/>
      <c r="CE539" s="3"/>
      <c r="CF539" s="3"/>
      <c r="CL539" s="135"/>
    </row>
    <row r="540" spans="1:90" s="98" customFormat="1">
      <c r="A540" s="3" t="s">
        <v>649</v>
      </c>
      <c r="B540" s="3" t="s">
        <v>268</v>
      </c>
      <c r="C540" s="3"/>
      <c r="D540" s="93">
        <v>7.0119999999999996</v>
      </c>
      <c r="E540" s="94">
        <v>0.29849999999999999</v>
      </c>
      <c r="F540" s="94">
        <v>1.1999999999999999E-3</v>
      </c>
      <c r="G540" s="95">
        <v>28.7</v>
      </c>
      <c r="H540" s="96">
        <v>0.69</v>
      </c>
      <c r="I540" s="97">
        <v>0.69840000000000002</v>
      </c>
      <c r="J540" s="95">
        <v>1.4999999999999999E-2</v>
      </c>
      <c r="K540" s="96">
        <v>0.41028999999999999</v>
      </c>
      <c r="M540" s="99">
        <v>3414.7</v>
      </c>
      <c r="N540" s="98">
        <v>57</v>
      </c>
      <c r="O540" s="99">
        <v>3462.9</v>
      </c>
      <c r="P540" s="98">
        <v>1.8</v>
      </c>
      <c r="Q540" s="98">
        <v>1.39</v>
      </c>
      <c r="R540" s="97">
        <v>0.01</v>
      </c>
      <c r="T540" s="98">
        <v>250</v>
      </c>
      <c r="U540" s="98">
        <v>130</v>
      </c>
      <c r="V540" s="98">
        <v>0.67</v>
      </c>
      <c r="W540" s="98">
        <v>0.73</v>
      </c>
      <c r="X540" s="98">
        <v>0.08</v>
      </c>
      <c r="Y540" s="98">
        <v>0.11</v>
      </c>
      <c r="Z540" s="98">
        <v>1.35</v>
      </c>
      <c r="AA540" s="98">
        <v>0.45</v>
      </c>
      <c r="AB540" s="98">
        <v>0.43</v>
      </c>
      <c r="AC540" s="98">
        <v>0.17</v>
      </c>
      <c r="AD540" s="98">
        <v>1660</v>
      </c>
      <c r="AE540" s="98">
        <v>160</v>
      </c>
      <c r="AF540" s="95">
        <v>3.9E-2</v>
      </c>
      <c r="AG540" s="98">
        <v>2.1000000000000001E-2</v>
      </c>
      <c r="AH540" s="96">
        <v>15.9</v>
      </c>
      <c r="AI540" s="96">
        <v>2.1</v>
      </c>
      <c r="AJ540" s="95">
        <v>0.41</v>
      </c>
      <c r="AK540" s="95">
        <v>8.5999999999999993E-2</v>
      </c>
      <c r="AL540" s="96">
        <v>5.4</v>
      </c>
      <c r="AM540" s="96">
        <v>1.1000000000000001</v>
      </c>
      <c r="AN540" s="96">
        <v>8.6999999999999993</v>
      </c>
      <c r="AO540" s="96">
        <v>1.6</v>
      </c>
      <c r="AP540" s="96">
        <v>2.19</v>
      </c>
      <c r="AQ540" s="96">
        <v>0.43</v>
      </c>
      <c r="AR540" s="96">
        <v>38.6</v>
      </c>
      <c r="AS540" s="93">
        <v>6.7</v>
      </c>
      <c r="AT540" s="96">
        <v>12.6</v>
      </c>
      <c r="AU540" s="96">
        <v>1.6</v>
      </c>
      <c r="AV540" s="99">
        <v>150</v>
      </c>
      <c r="AW540" s="98">
        <v>19</v>
      </c>
      <c r="AX540" s="98">
        <v>54.1</v>
      </c>
      <c r="AY540" s="98">
        <v>6</v>
      </c>
      <c r="AZ540" s="98">
        <v>245</v>
      </c>
      <c r="BA540" s="98">
        <v>24</v>
      </c>
      <c r="BB540" s="98">
        <v>52.9</v>
      </c>
      <c r="BC540" s="98">
        <v>5.3</v>
      </c>
      <c r="BD540" s="98">
        <v>460</v>
      </c>
      <c r="BE540" s="98">
        <v>55</v>
      </c>
      <c r="BF540" s="98">
        <v>93</v>
      </c>
      <c r="BG540" s="98">
        <v>8.8000000000000007</v>
      </c>
      <c r="BI540" s="93">
        <v>8.6999999999999993</v>
      </c>
      <c r="BJ540" s="98">
        <v>2.1</v>
      </c>
      <c r="BK540" s="98">
        <v>531000</v>
      </c>
      <c r="BL540" s="98">
        <v>56000</v>
      </c>
      <c r="BM540" s="98">
        <v>8610</v>
      </c>
      <c r="BN540" s="98">
        <v>900</v>
      </c>
      <c r="BO540" s="99">
        <v>193</v>
      </c>
      <c r="BP540" s="98">
        <v>17</v>
      </c>
      <c r="BQ540" s="99">
        <v>170</v>
      </c>
      <c r="BR540" s="98">
        <v>15</v>
      </c>
      <c r="CD540" s="3"/>
      <c r="CE540" s="3"/>
      <c r="CF540" s="3"/>
    </row>
    <row r="541" spans="1:90" s="98" customFormat="1">
      <c r="A541" s="3" t="s">
        <v>650</v>
      </c>
      <c r="B541" s="3" t="s">
        <v>268</v>
      </c>
      <c r="C541" s="3"/>
      <c r="D541" s="93">
        <v>7.0110000000000001</v>
      </c>
      <c r="E541" s="94">
        <v>0.29920000000000002</v>
      </c>
      <c r="F541" s="94">
        <v>1.1999999999999999E-3</v>
      </c>
      <c r="G541" s="95">
        <v>28.82</v>
      </c>
      <c r="H541" s="96">
        <v>0.7</v>
      </c>
      <c r="I541" s="97">
        <v>0.6996</v>
      </c>
      <c r="J541" s="95">
        <v>1.4999999999999999E-2</v>
      </c>
      <c r="K541" s="96">
        <v>0.41770000000000002</v>
      </c>
      <c r="M541" s="99">
        <v>3419.2</v>
      </c>
      <c r="N541" s="98">
        <v>57</v>
      </c>
      <c r="O541" s="99">
        <v>3466.2</v>
      </c>
      <c r="P541" s="98">
        <v>1.9</v>
      </c>
      <c r="Q541" s="98">
        <v>1.36</v>
      </c>
      <c r="R541" s="97">
        <v>9.9000000000000008E-3</v>
      </c>
      <c r="T541" s="98">
        <v>130</v>
      </c>
      <c r="U541" s="98">
        <v>120</v>
      </c>
      <c r="V541" s="98">
        <v>0.3</v>
      </c>
      <c r="W541" s="98">
        <v>1.1000000000000001</v>
      </c>
      <c r="X541" s="98">
        <v>0.13</v>
      </c>
      <c r="Y541" s="98">
        <v>0.14000000000000001</v>
      </c>
      <c r="Z541" s="98">
        <v>0.94</v>
      </c>
      <c r="AA541" s="98">
        <v>0.3</v>
      </c>
      <c r="AB541" s="98">
        <v>0.65</v>
      </c>
      <c r="AC541" s="98">
        <v>0.53</v>
      </c>
      <c r="AD541" s="98">
        <v>569</v>
      </c>
      <c r="AE541" s="98">
        <v>80</v>
      </c>
      <c r="AF541" s="95">
        <v>1.2E-2</v>
      </c>
      <c r="AG541" s="98">
        <v>1.2E-2</v>
      </c>
      <c r="AH541" s="96">
        <v>8.6</v>
      </c>
      <c r="AI541" s="96">
        <v>1.4</v>
      </c>
      <c r="AJ541" s="95">
        <v>7.0000000000000007E-2</v>
      </c>
      <c r="AK541" s="95">
        <v>0.04</v>
      </c>
      <c r="AL541" s="96">
        <v>1.36</v>
      </c>
      <c r="AM541" s="96">
        <v>0.97</v>
      </c>
      <c r="AN541" s="96">
        <v>2.5</v>
      </c>
      <c r="AO541" s="96">
        <v>0.75</v>
      </c>
      <c r="AP541" s="96">
        <v>0.53</v>
      </c>
      <c r="AQ541" s="96">
        <v>0.16</v>
      </c>
      <c r="AR541" s="96">
        <v>10.5</v>
      </c>
      <c r="AS541" s="93">
        <v>2.8</v>
      </c>
      <c r="AT541" s="96">
        <v>3.46</v>
      </c>
      <c r="AU541" s="96">
        <v>0.62</v>
      </c>
      <c r="AV541" s="99">
        <v>44.5</v>
      </c>
      <c r="AW541" s="98">
        <v>6.8</v>
      </c>
      <c r="AX541" s="98">
        <v>17.7</v>
      </c>
      <c r="AY541" s="98">
        <v>1.9</v>
      </c>
      <c r="AZ541" s="98">
        <v>92</v>
      </c>
      <c r="BA541" s="98">
        <v>12</v>
      </c>
      <c r="BB541" s="98">
        <v>20.7</v>
      </c>
      <c r="BC541" s="98">
        <v>2.2999999999999998</v>
      </c>
      <c r="BD541" s="98">
        <v>204</v>
      </c>
      <c r="BE541" s="98">
        <v>24</v>
      </c>
      <c r="BF541" s="98">
        <v>45.7</v>
      </c>
      <c r="BG541" s="98">
        <v>4.4000000000000004</v>
      </c>
      <c r="BI541" s="93">
        <v>5.9</v>
      </c>
      <c r="BJ541" s="98">
        <v>4</v>
      </c>
      <c r="BK541" s="98">
        <v>558000</v>
      </c>
      <c r="BL541" s="98">
        <v>52000</v>
      </c>
      <c r="BM541" s="98">
        <v>11900</v>
      </c>
      <c r="BN541" s="98">
        <v>1000</v>
      </c>
      <c r="BO541" s="99">
        <v>82.5</v>
      </c>
      <c r="BP541" s="98">
        <v>7.4</v>
      </c>
      <c r="BQ541" s="99">
        <v>123</v>
      </c>
      <c r="BR541" s="98">
        <v>12</v>
      </c>
      <c r="CD541" s="3"/>
      <c r="CE541" s="3"/>
      <c r="CF541" s="3"/>
      <c r="CL541" s="135"/>
    </row>
    <row r="542" spans="1:90" s="98" customFormat="1">
      <c r="A542" s="3" t="s">
        <v>651</v>
      </c>
      <c r="B542" s="3" t="s">
        <v>268</v>
      </c>
      <c r="C542" s="3"/>
      <c r="D542" s="93">
        <v>7.05</v>
      </c>
      <c r="E542" s="94">
        <v>0.30009999999999998</v>
      </c>
      <c r="F542" s="94">
        <v>1.4E-3</v>
      </c>
      <c r="G542" s="95">
        <v>28.94</v>
      </c>
      <c r="H542" s="96">
        <v>0.71</v>
      </c>
      <c r="I542" s="97">
        <v>0.70030000000000003</v>
      </c>
      <c r="J542" s="95">
        <v>1.4999999999999999E-2</v>
      </c>
      <c r="K542" s="96">
        <v>0.55717000000000005</v>
      </c>
      <c r="M542" s="99">
        <v>3421.7</v>
      </c>
      <c r="N542" s="98">
        <v>57</v>
      </c>
      <c r="O542" s="99">
        <v>3470.4</v>
      </c>
      <c r="P542" s="98">
        <v>3.6</v>
      </c>
      <c r="Q542" s="98">
        <v>1.4</v>
      </c>
      <c r="R542" s="97">
        <v>1.04E-2</v>
      </c>
      <c r="T542" s="98">
        <v>290</v>
      </c>
      <c r="U542" s="98">
        <v>110</v>
      </c>
      <c r="V542" s="98">
        <v>0.42</v>
      </c>
      <c r="W542" s="98">
        <v>0.98</v>
      </c>
      <c r="X542" s="98">
        <v>0.22</v>
      </c>
      <c r="Y542" s="98">
        <v>0.14000000000000001</v>
      </c>
      <c r="Z542" s="98">
        <v>1.28</v>
      </c>
      <c r="AA542" s="98">
        <v>0.34</v>
      </c>
      <c r="AB542" s="98">
        <v>0.61</v>
      </c>
      <c r="AC542" s="98">
        <v>0.35</v>
      </c>
      <c r="AD542" s="98">
        <v>744</v>
      </c>
      <c r="AE542" s="98">
        <v>46</v>
      </c>
      <c r="AF542" s="95">
        <v>1.9E-2</v>
      </c>
      <c r="AG542" s="98">
        <v>1.7999999999999999E-2</v>
      </c>
      <c r="AH542" s="96">
        <v>18.399999999999999</v>
      </c>
      <c r="AI542" s="96">
        <v>1.5</v>
      </c>
      <c r="AJ542" s="95">
        <v>5.8000000000000003E-2</v>
      </c>
      <c r="AK542" s="95">
        <v>2.1999999999999999E-2</v>
      </c>
      <c r="AL542" s="96">
        <v>1.85</v>
      </c>
      <c r="AM542" s="96">
        <v>0.52</v>
      </c>
      <c r="AN542" s="96">
        <v>2.0499999999999998</v>
      </c>
      <c r="AO542" s="96">
        <v>0.64</v>
      </c>
      <c r="AP542" s="96">
        <v>0.73</v>
      </c>
      <c r="AQ542" s="96">
        <v>0.22</v>
      </c>
      <c r="AR542" s="96">
        <v>13.7</v>
      </c>
      <c r="AS542" s="93">
        <v>3.3</v>
      </c>
      <c r="AT542" s="96">
        <v>4.2699999999999996</v>
      </c>
      <c r="AU542" s="96">
        <v>0.59</v>
      </c>
      <c r="AV542" s="99">
        <v>59.5</v>
      </c>
      <c r="AW542" s="98">
        <v>8.5</v>
      </c>
      <c r="AX542" s="98">
        <v>23.2</v>
      </c>
      <c r="AY542" s="98">
        <v>3</v>
      </c>
      <c r="AZ542" s="98">
        <v>131</v>
      </c>
      <c r="BA542" s="98">
        <v>14</v>
      </c>
      <c r="BB542" s="98">
        <v>32</v>
      </c>
      <c r="BC542" s="98">
        <v>4</v>
      </c>
      <c r="BD542" s="98">
        <v>297</v>
      </c>
      <c r="BE542" s="98">
        <v>29</v>
      </c>
      <c r="BF542" s="98">
        <v>64.7</v>
      </c>
      <c r="BG542" s="98">
        <v>3.7</v>
      </c>
      <c r="BI542" s="93">
        <v>5.4</v>
      </c>
      <c r="BJ542" s="98">
        <v>2.2999999999999998</v>
      </c>
      <c r="BK542" s="98">
        <v>559000</v>
      </c>
      <c r="BL542" s="98">
        <v>42000</v>
      </c>
      <c r="BM542" s="98">
        <v>10700</v>
      </c>
      <c r="BN542" s="98">
        <v>1000</v>
      </c>
      <c r="BO542" s="99">
        <v>157</v>
      </c>
      <c r="BP542" s="98">
        <v>16</v>
      </c>
      <c r="BQ542" s="99">
        <v>226</v>
      </c>
      <c r="BR542" s="98">
        <v>25</v>
      </c>
      <c r="CD542" s="3"/>
      <c r="CE542" s="3"/>
      <c r="CF542" s="3"/>
      <c r="CL542" s="135"/>
    </row>
    <row r="543" spans="1:90" s="98" customFormat="1">
      <c r="A543" s="3" t="s">
        <v>652</v>
      </c>
      <c r="B543" s="3" t="s">
        <v>268</v>
      </c>
      <c r="C543" s="3"/>
      <c r="D543" s="93">
        <v>7.0469999999999997</v>
      </c>
      <c r="E543" s="94">
        <v>0.29949999999999999</v>
      </c>
      <c r="F543" s="94">
        <v>1.1999999999999999E-3</v>
      </c>
      <c r="G543" s="95">
        <v>28.99</v>
      </c>
      <c r="H543" s="96">
        <v>0.7</v>
      </c>
      <c r="I543" s="97">
        <v>0.70279999999999998</v>
      </c>
      <c r="J543" s="95">
        <v>1.4999999999999999E-2</v>
      </c>
      <c r="K543" s="96">
        <v>0.63077000000000005</v>
      </c>
      <c r="M543" s="99">
        <v>3431.1</v>
      </c>
      <c r="N543" s="98">
        <v>57</v>
      </c>
      <c r="O543" s="99">
        <v>3466.8</v>
      </c>
      <c r="P543" s="98">
        <v>2.1</v>
      </c>
      <c r="Q543" s="98">
        <v>1.03</v>
      </c>
      <c r="R543" s="97">
        <v>7.7999999999999996E-3</v>
      </c>
      <c r="T543" s="98">
        <v>267</v>
      </c>
      <c r="U543" s="98">
        <v>73</v>
      </c>
      <c r="V543" s="98">
        <v>1.1000000000000001</v>
      </c>
      <c r="W543" s="98">
        <v>1.4</v>
      </c>
      <c r="X543" s="98">
        <v>0.21</v>
      </c>
      <c r="Y543" s="98">
        <v>0.15</v>
      </c>
      <c r="Z543" s="98">
        <v>1.19</v>
      </c>
      <c r="AA543" s="98">
        <v>0.49</v>
      </c>
      <c r="AB543" s="98">
        <v>0.57999999999999996</v>
      </c>
      <c r="AC543" s="98">
        <v>0.25</v>
      </c>
      <c r="AD543" s="98">
        <v>958</v>
      </c>
      <c r="AE543" s="98">
        <v>62</v>
      </c>
      <c r="AF543" s="95">
        <v>1.7000000000000001E-2</v>
      </c>
      <c r="AG543" s="98">
        <v>1.2E-2</v>
      </c>
      <c r="AH543" s="96">
        <v>13.1</v>
      </c>
      <c r="AI543" s="96">
        <v>1.2</v>
      </c>
      <c r="AJ543" s="95">
        <v>0.12</v>
      </c>
      <c r="AK543" s="95">
        <v>4.8000000000000001E-2</v>
      </c>
      <c r="AL543" s="96">
        <v>3.12</v>
      </c>
      <c r="AM543" s="96">
        <v>0.74</v>
      </c>
      <c r="AN543" s="96">
        <v>2.9</v>
      </c>
      <c r="AO543" s="96">
        <v>1.1000000000000001</v>
      </c>
      <c r="AP543" s="96">
        <v>1.17</v>
      </c>
      <c r="AQ543" s="96">
        <v>0.31</v>
      </c>
      <c r="AR543" s="96">
        <v>17.3</v>
      </c>
      <c r="AS543" s="93">
        <v>3.1</v>
      </c>
      <c r="AT543" s="96">
        <v>5.57</v>
      </c>
      <c r="AU543" s="96">
        <v>0.97</v>
      </c>
      <c r="AV543" s="99">
        <v>75.400000000000006</v>
      </c>
      <c r="AW543" s="98">
        <v>5.8</v>
      </c>
      <c r="AX543" s="98">
        <v>30.1</v>
      </c>
      <c r="AY543" s="98">
        <v>2.6</v>
      </c>
      <c r="AZ543" s="98">
        <v>155</v>
      </c>
      <c r="BA543" s="98">
        <v>12</v>
      </c>
      <c r="BB543" s="98">
        <v>34.1</v>
      </c>
      <c r="BC543" s="98">
        <v>3.7</v>
      </c>
      <c r="BD543" s="98">
        <v>308</v>
      </c>
      <c r="BE543" s="98">
        <v>19</v>
      </c>
      <c r="BF543" s="98">
        <v>70.599999999999994</v>
      </c>
      <c r="BG543" s="98">
        <v>6.3</v>
      </c>
      <c r="BI543" s="93">
        <v>8.4</v>
      </c>
      <c r="BJ543" s="98">
        <v>2.4</v>
      </c>
      <c r="BK543" s="98">
        <v>599000</v>
      </c>
      <c r="BL543" s="98">
        <v>34000</v>
      </c>
      <c r="BM543" s="98">
        <v>9800</v>
      </c>
      <c r="BN543" s="98">
        <v>830</v>
      </c>
      <c r="BO543" s="99">
        <v>105.4</v>
      </c>
      <c r="BP543" s="98">
        <v>7.5</v>
      </c>
      <c r="BQ543" s="99">
        <v>138</v>
      </c>
      <c r="BR543" s="98">
        <v>11</v>
      </c>
      <c r="CD543" s="3"/>
      <c r="CE543" s="3"/>
      <c r="CF543" s="3"/>
    </row>
    <row r="544" spans="1:90" s="98" customFormat="1">
      <c r="A544" s="3" t="s">
        <v>653</v>
      </c>
      <c r="B544" s="3" t="s">
        <v>268</v>
      </c>
      <c r="C544" s="3"/>
      <c r="D544" s="93">
        <v>7.0170000000000003</v>
      </c>
      <c r="E544" s="94">
        <v>0.29897000000000001</v>
      </c>
      <c r="F544" s="94">
        <v>9.1E-4</v>
      </c>
      <c r="G544" s="95">
        <v>29.03</v>
      </c>
      <c r="H544" s="96">
        <v>0.7</v>
      </c>
      <c r="I544" s="97">
        <v>0.70479999999999998</v>
      </c>
      <c r="J544" s="95">
        <v>1.4999999999999999E-2</v>
      </c>
      <c r="K544" s="96">
        <v>0.58787</v>
      </c>
      <c r="M544" s="99">
        <v>3438.7</v>
      </c>
      <c r="N544" s="98">
        <v>57</v>
      </c>
      <c r="O544" s="99">
        <v>3464.5</v>
      </c>
      <c r="P544" s="98">
        <v>1.6</v>
      </c>
      <c r="Q544" s="98">
        <v>0.76</v>
      </c>
      <c r="R544" s="97">
        <v>5.4999999999999997E-3</v>
      </c>
      <c r="T544" s="98">
        <v>211</v>
      </c>
      <c r="U544" s="98">
        <v>90</v>
      </c>
      <c r="V544" s="98" t="s">
        <v>250</v>
      </c>
      <c r="W544" s="98" t="s">
        <v>250</v>
      </c>
      <c r="X544" s="98">
        <v>0.18</v>
      </c>
      <c r="Y544" s="98">
        <v>0.2</v>
      </c>
      <c r="Z544" s="98">
        <v>1.1000000000000001</v>
      </c>
      <c r="AA544" s="98">
        <v>0.42</v>
      </c>
      <c r="AB544" s="98">
        <v>0.51</v>
      </c>
      <c r="AC544" s="98">
        <v>0.31</v>
      </c>
      <c r="AD544" s="98">
        <v>561</v>
      </c>
      <c r="AE544" s="98">
        <v>48</v>
      </c>
      <c r="AF544" s="95">
        <v>1.9E-2</v>
      </c>
      <c r="AG544" s="98">
        <v>1.4E-2</v>
      </c>
      <c r="AH544" s="96">
        <v>9.5</v>
      </c>
      <c r="AI544" s="96">
        <v>1.3</v>
      </c>
      <c r="AJ544" s="95">
        <v>4.3999999999999997E-2</v>
      </c>
      <c r="AK544" s="95">
        <v>2.5999999999999999E-2</v>
      </c>
      <c r="AL544" s="96">
        <v>1.41</v>
      </c>
      <c r="AM544" s="96">
        <v>0.43</v>
      </c>
      <c r="AN544" s="96">
        <v>2.08</v>
      </c>
      <c r="AO544" s="96">
        <v>0.75</v>
      </c>
      <c r="AP544" s="96">
        <v>0.5</v>
      </c>
      <c r="AQ544" s="96">
        <v>0.16</v>
      </c>
      <c r="AR544" s="96">
        <v>9.3000000000000007</v>
      </c>
      <c r="AS544" s="93">
        <v>2.7</v>
      </c>
      <c r="AT544" s="96">
        <v>2.81</v>
      </c>
      <c r="AU544" s="96">
        <v>0.56999999999999995</v>
      </c>
      <c r="AV544" s="99">
        <v>40.5</v>
      </c>
      <c r="AW544" s="98">
        <v>3.5</v>
      </c>
      <c r="AX544" s="98">
        <v>16.399999999999999</v>
      </c>
      <c r="AY544" s="98">
        <v>1</v>
      </c>
      <c r="AZ544" s="98">
        <v>98.8</v>
      </c>
      <c r="BA544" s="98">
        <v>8.1</v>
      </c>
      <c r="BB544" s="98">
        <v>23.6</v>
      </c>
      <c r="BC544" s="98">
        <v>2.5</v>
      </c>
      <c r="BD544" s="98">
        <v>221</v>
      </c>
      <c r="BE544" s="98">
        <v>16</v>
      </c>
      <c r="BF544" s="98">
        <v>54.6</v>
      </c>
      <c r="BG544" s="98">
        <v>4</v>
      </c>
      <c r="BI544" s="93">
        <v>9</v>
      </c>
      <c r="BJ544" s="98">
        <v>2.6</v>
      </c>
      <c r="BK544" s="98">
        <v>540000</v>
      </c>
      <c r="BL544" s="98">
        <v>44000</v>
      </c>
      <c r="BM544" s="98">
        <v>10060</v>
      </c>
      <c r="BN544" s="98">
        <v>900</v>
      </c>
      <c r="BO544" s="99">
        <v>68.2</v>
      </c>
      <c r="BP544" s="98">
        <v>4.3</v>
      </c>
      <c r="BQ544" s="99">
        <v>115.9</v>
      </c>
      <c r="BR544" s="98">
        <v>7.9</v>
      </c>
      <c r="CD544" s="3"/>
      <c r="CE544" s="3"/>
      <c r="CF544" s="3"/>
    </row>
    <row r="545" spans="1:90" s="98" customFormat="1">
      <c r="A545" s="3" t="s">
        <v>654</v>
      </c>
      <c r="B545" s="3" t="s">
        <v>268</v>
      </c>
      <c r="C545" s="3"/>
      <c r="D545" s="93">
        <v>7.0069999999999997</v>
      </c>
      <c r="E545" s="94">
        <v>0.29949999999999999</v>
      </c>
      <c r="F545" s="94">
        <v>1.4E-3</v>
      </c>
      <c r="G545" s="95">
        <v>29.7</v>
      </c>
      <c r="H545" s="96">
        <v>0.73</v>
      </c>
      <c r="I545" s="97">
        <v>0.71989999999999998</v>
      </c>
      <c r="J545" s="95">
        <v>1.6E-2</v>
      </c>
      <c r="K545" s="96">
        <v>0.64958000000000005</v>
      </c>
      <c r="M545" s="99">
        <v>3496</v>
      </c>
      <c r="N545" s="98">
        <v>59</v>
      </c>
      <c r="O545" s="99">
        <v>3467.5</v>
      </c>
      <c r="P545" s="98">
        <v>1.8</v>
      </c>
      <c r="Q545" s="98">
        <v>-0.75</v>
      </c>
      <c r="R545" s="97">
        <v>-6.0000000000000002E-5</v>
      </c>
      <c r="T545" s="98">
        <v>181</v>
      </c>
      <c r="U545" s="98">
        <v>94</v>
      </c>
      <c r="V545" s="98">
        <v>1.3</v>
      </c>
      <c r="W545" s="98">
        <v>1.6</v>
      </c>
      <c r="X545" s="98">
        <v>0.17</v>
      </c>
      <c r="Y545" s="98">
        <v>0.19</v>
      </c>
      <c r="Z545" s="98">
        <v>1.7</v>
      </c>
      <c r="AA545" s="98">
        <v>0.59</v>
      </c>
      <c r="AB545" s="98">
        <v>0.73</v>
      </c>
      <c r="AC545" s="98">
        <v>0.35</v>
      </c>
      <c r="AD545" s="98">
        <v>800</v>
      </c>
      <c r="AE545" s="98">
        <v>90</v>
      </c>
      <c r="AF545" s="95">
        <v>0.43</v>
      </c>
      <c r="AG545" s="98">
        <v>0.1</v>
      </c>
      <c r="AH545" s="96">
        <v>21.6</v>
      </c>
      <c r="AI545" s="96">
        <v>2.2000000000000002</v>
      </c>
      <c r="AJ545" s="95">
        <v>0.42399999999999999</v>
      </c>
      <c r="AK545" s="95">
        <v>8.2000000000000003E-2</v>
      </c>
      <c r="AL545" s="96">
        <v>3.67</v>
      </c>
      <c r="AM545" s="96">
        <v>0.81</v>
      </c>
      <c r="AN545" s="96">
        <v>3.65</v>
      </c>
      <c r="AO545" s="96">
        <v>0.95</v>
      </c>
      <c r="AP545" s="96">
        <v>0.75</v>
      </c>
      <c r="AQ545" s="96">
        <v>0.2</v>
      </c>
      <c r="AR545" s="96">
        <v>13.8</v>
      </c>
      <c r="AS545" s="93">
        <v>2.4</v>
      </c>
      <c r="AT545" s="96">
        <v>4.12</v>
      </c>
      <c r="AU545" s="96">
        <v>0.64</v>
      </c>
      <c r="AV545" s="99">
        <v>61</v>
      </c>
      <c r="AW545" s="98">
        <v>10</v>
      </c>
      <c r="AX545" s="98">
        <v>25.3</v>
      </c>
      <c r="AY545" s="98">
        <v>3.2</v>
      </c>
      <c r="AZ545" s="98">
        <v>140</v>
      </c>
      <c r="BA545" s="98">
        <v>14</v>
      </c>
      <c r="BB545" s="98">
        <v>32.6</v>
      </c>
      <c r="BC545" s="98">
        <v>3.7</v>
      </c>
      <c r="BD545" s="98">
        <v>308</v>
      </c>
      <c r="BE545" s="98">
        <v>24</v>
      </c>
      <c r="BF545" s="98">
        <v>68.400000000000006</v>
      </c>
      <c r="BG545" s="98">
        <v>8.6</v>
      </c>
      <c r="BI545" s="93">
        <v>6.2</v>
      </c>
      <c r="BJ545" s="98">
        <v>2.2999999999999998</v>
      </c>
      <c r="BK545" s="98">
        <v>553000</v>
      </c>
      <c r="BL545" s="98">
        <v>50000</v>
      </c>
      <c r="BM545" s="98">
        <v>10900</v>
      </c>
      <c r="BN545" s="98">
        <v>1100</v>
      </c>
      <c r="BO545" s="99">
        <v>188</v>
      </c>
      <c r="BP545" s="98">
        <v>17</v>
      </c>
      <c r="BQ545" s="99">
        <v>265</v>
      </c>
      <c r="BR545" s="98">
        <v>25</v>
      </c>
      <c r="CD545" s="3"/>
      <c r="CE545" s="3"/>
      <c r="CF545" s="3"/>
      <c r="CL545" s="135"/>
    </row>
    <row r="546" spans="1:90" s="98" customFormat="1">
      <c r="A546" s="3" t="s">
        <v>655</v>
      </c>
      <c r="B546" s="3" t="s">
        <v>268</v>
      </c>
      <c r="C546" s="3"/>
      <c r="D546" s="93">
        <v>7.0119999999999996</v>
      </c>
      <c r="E546" s="94">
        <v>0.2984</v>
      </c>
      <c r="F546" s="94">
        <v>8.8999999999999995E-4</v>
      </c>
      <c r="G546" s="95">
        <v>29.26</v>
      </c>
      <c r="H546" s="96">
        <v>0.71</v>
      </c>
      <c r="I546" s="97">
        <v>0.71179999999999999</v>
      </c>
      <c r="J546" s="95">
        <v>1.4999999999999999E-2</v>
      </c>
      <c r="K546" s="96">
        <v>0.74655000000000005</v>
      </c>
      <c r="M546" s="99">
        <v>3465.4</v>
      </c>
      <c r="N546" s="98">
        <v>58</v>
      </c>
      <c r="O546" s="99">
        <v>3461.6</v>
      </c>
      <c r="P546" s="98">
        <v>1.7</v>
      </c>
      <c r="Q546" s="98">
        <v>-0.1</v>
      </c>
      <c r="R546" s="97">
        <v>1.2999999999999999E-3</v>
      </c>
      <c r="T546" s="98">
        <v>320</v>
      </c>
      <c r="U546" s="98">
        <v>100</v>
      </c>
      <c r="V546" s="98">
        <v>0.1</v>
      </c>
      <c r="W546" s="98">
        <v>0.68</v>
      </c>
      <c r="X546" s="98">
        <v>0.5</v>
      </c>
      <c r="Y546" s="98">
        <v>0.3</v>
      </c>
      <c r="Z546" s="98">
        <v>2.97</v>
      </c>
      <c r="AA546" s="98">
        <v>0.87</v>
      </c>
      <c r="AB546" s="98">
        <v>1.19</v>
      </c>
      <c r="AC546" s="98">
        <v>0.48</v>
      </c>
      <c r="AD546" s="98">
        <v>2550</v>
      </c>
      <c r="AE546" s="98">
        <v>150</v>
      </c>
      <c r="AF546" s="95">
        <v>6.8000000000000005E-2</v>
      </c>
      <c r="AG546" s="98">
        <v>4.1000000000000002E-2</v>
      </c>
      <c r="AH546" s="96">
        <v>30.1</v>
      </c>
      <c r="AI546" s="96">
        <v>1.7</v>
      </c>
      <c r="AJ546" s="95">
        <v>0.32300000000000001</v>
      </c>
      <c r="AK546" s="95">
        <v>5.0999999999999997E-2</v>
      </c>
      <c r="AL546" s="96">
        <v>6.1</v>
      </c>
      <c r="AM546" s="96">
        <v>1.4</v>
      </c>
      <c r="AN546" s="96">
        <v>10.5</v>
      </c>
      <c r="AO546" s="96">
        <v>1.9</v>
      </c>
      <c r="AP546" s="96">
        <v>2.63</v>
      </c>
      <c r="AQ546" s="96">
        <v>0.52</v>
      </c>
      <c r="AR546" s="96">
        <v>54.9</v>
      </c>
      <c r="AS546" s="93">
        <v>6.5</v>
      </c>
      <c r="AT546" s="96">
        <v>17.2</v>
      </c>
      <c r="AU546" s="96">
        <v>1.7</v>
      </c>
      <c r="AV546" s="99">
        <v>225</v>
      </c>
      <c r="AW546" s="98">
        <v>15</v>
      </c>
      <c r="AX546" s="98">
        <v>79.099999999999994</v>
      </c>
      <c r="AY546" s="98">
        <v>6.2</v>
      </c>
      <c r="AZ546" s="98">
        <v>415</v>
      </c>
      <c r="BA546" s="98">
        <v>35</v>
      </c>
      <c r="BB546" s="98">
        <v>80.5</v>
      </c>
      <c r="BC546" s="98">
        <v>7.2</v>
      </c>
      <c r="BD546" s="98">
        <v>692</v>
      </c>
      <c r="BE546" s="98">
        <v>73</v>
      </c>
      <c r="BF546" s="98">
        <v>144</v>
      </c>
      <c r="BG546" s="98">
        <v>11</v>
      </c>
      <c r="BI546" s="93">
        <v>14.1</v>
      </c>
      <c r="BJ546" s="98">
        <v>3.1</v>
      </c>
      <c r="BK546" s="98">
        <v>519000</v>
      </c>
      <c r="BL546" s="98">
        <v>39000</v>
      </c>
      <c r="BM546" s="98">
        <v>7890</v>
      </c>
      <c r="BN546" s="98">
        <v>560</v>
      </c>
      <c r="BO546" s="99">
        <v>357</v>
      </c>
      <c r="BP546" s="98">
        <v>24</v>
      </c>
      <c r="BQ546" s="99">
        <v>292</v>
      </c>
      <c r="BR546" s="98">
        <v>20</v>
      </c>
      <c r="CD546" s="3"/>
      <c r="CE546" s="3"/>
      <c r="CF546" s="3"/>
    </row>
    <row r="547" spans="1:90" s="98" customFormat="1">
      <c r="A547" s="3" t="s">
        <v>656</v>
      </c>
      <c r="B547" s="3" t="s">
        <v>268</v>
      </c>
      <c r="C547" s="3"/>
      <c r="D547" s="93">
        <v>7.0069999999999997</v>
      </c>
      <c r="E547" s="94">
        <v>0.29941000000000001</v>
      </c>
      <c r="F547" s="94">
        <v>9.5E-4</v>
      </c>
      <c r="G547" s="95">
        <v>29.25</v>
      </c>
      <c r="H547" s="96">
        <v>0.71</v>
      </c>
      <c r="I547" s="97">
        <v>0.70830000000000004</v>
      </c>
      <c r="J547" s="95">
        <v>1.4999999999999999E-2</v>
      </c>
      <c r="K547" s="96">
        <v>0.53517000000000003</v>
      </c>
      <c r="M547" s="99">
        <v>3452.2</v>
      </c>
      <c r="N547" s="98">
        <v>57</v>
      </c>
      <c r="O547" s="99">
        <v>3467.9</v>
      </c>
      <c r="P547" s="98">
        <v>2.7</v>
      </c>
      <c r="Q547" s="98">
        <v>0.46</v>
      </c>
      <c r="R547" s="97">
        <v>3.7000000000000002E-3</v>
      </c>
      <c r="T547" s="98">
        <v>193</v>
      </c>
      <c r="U547" s="98">
        <v>86</v>
      </c>
      <c r="V547" s="98">
        <v>0.7</v>
      </c>
      <c r="W547" s="98">
        <v>1</v>
      </c>
      <c r="X547" s="98">
        <v>0.27</v>
      </c>
      <c r="Y547" s="98">
        <v>0.25</v>
      </c>
      <c r="Z547" s="98">
        <v>1.29</v>
      </c>
      <c r="AA547" s="98">
        <v>0.49</v>
      </c>
      <c r="AB547" s="98">
        <v>0.39</v>
      </c>
      <c r="AC547" s="98">
        <v>0.27</v>
      </c>
      <c r="AD547" s="98">
        <v>881</v>
      </c>
      <c r="AE547" s="98">
        <v>51</v>
      </c>
      <c r="AF547" s="95">
        <v>3.7999999999999999E-2</v>
      </c>
      <c r="AG547" s="98">
        <v>2.8000000000000001E-2</v>
      </c>
      <c r="AH547" s="96">
        <v>11.6</v>
      </c>
      <c r="AI547" s="96">
        <v>1.3</v>
      </c>
      <c r="AJ547" s="95">
        <v>0.16400000000000001</v>
      </c>
      <c r="AK547" s="95">
        <v>5.1999999999999998E-2</v>
      </c>
      <c r="AL547" s="96">
        <v>2.2599999999999998</v>
      </c>
      <c r="AM547" s="96">
        <v>0.65</v>
      </c>
      <c r="AN547" s="96">
        <v>4.4000000000000004</v>
      </c>
      <c r="AO547" s="96">
        <v>1.1000000000000001</v>
      </c>
      <c r="AP547" s="96">
        <v>1.1100000000000001</v>
      </c>
      <c r="AQ547" s="96">
        <v>0.31</v>
      </c>
      <c r="AR547" s="96">
        <v>20.8</v>
      </c>
      <c r="AS547" s="93">
        <v>3.6</v>
      </c>
      <c r="AT547" s="96">
        <v>6.12</v>
      </c>
      <c r="AU547" s="96">
        <v>0.8</v>
      </c>
      <c r="AV547" s="99">
        <v>74.8</v>
      </c>
      <c r="AW547" s="98">
        <v>5.2</v>
      </c>
      <c r="AX547" s="98">
        <v>28.6</v>
      </c>
      <c r="AY547" s="98">
        <v>1.4</v>
      </c>
      <c r="AZ547" s="98">
        <v>149</v>
      </c>
      <c r="BA547" s="98">
        <v>12</v>
      </c>
      <c r="BB547" s="98">
        <v>32.299999999999997</v>
      </c>
      <c r="BC547" s="98">
        <v>2.5</v>
      </c>
      <c r="BD547" s="98">
        <v>307</v>
      </c>
      <c r="BE547" s="98">
        <v>20</v>
      </c>
      <c r="BF547" s="98">
        <v>67.400000000000006</v>
      </c>
      <c r="BG547" s="98">
        <v>4.8</v>
      </c>
      <c r="BI547" s="93">
        <v>7.9</v>
      </c>
      <c r="BJ547" s="98">
        <v>1.8</v>
      </c>
      <c r="BK547" s="98">
        <v>515000</v>
      </c>
      <c r="BL547" s="98">
        <v>48000</v>
      </c>
      <c r="BM547" s="98">
        <v>9660</v>
      </c>
      <c r="BN547" s="98">
        <v>690</v>
      </c>
      <c r="BO547" s="99">
        <v>111.8</v>
      </c>
      <c r="BP547" s="98">
        <v>6.6</v>
      </c>
      <c r="BQ547" s="99">
        <v>131.6</v>
      </c>
      <c r="BR547" s="98">
        <v>7.5</v>
      </c>
      <c r="CD547" s="3"/>
      <c r="CE547" s="3"/>
      <c r="CF547" s="3"/>
    </row>
    <row r="548" spans="1:90" s="98" customFormat="1">
      <c r="A548" s="3" t="s">
        <v>657</v>
      </c>
      <c r="B548" s="3" t="s">
        <v>268</v>
      </c>
      <c r="C548" s="3"/>
      <c r="D548" s="93">
        <v>7.048</v>
      </c>
      <c r="E548" s="94">
        <v>0.29899999999999999</v>
      </c>
      <c r="F548" s="94">
        <v>1.2999999999999999E-3</v>
      </c>
      <c r="G548" s="95">
        <v>29.97</v>
      </c>
      <c r="H548" s="96">
        <v>0.73</v>
      </c>
      <c r="I548" s="97">
        <v>0.72689999999999999</v>
      </c>
      <c r="J548" s="95">
        <v>1.6E-2</v>
      </c>
      <c r="K548" s="96">
        <v>0.64363000000000004</v>
      </c>
      <c r="M548" s="99">
        <v>3521.7</v>
      </c>
      <c r="N548" s="98">
        <v>58</v>
      </c>
      <c r="O548" s="99">
        <v>3464.7</v>
      </c>
      <c r="P548" s="98">
        <v>2.7</v>
      </c>
      <c r="Q548" s="98">
        <v>-1.65</v>
      </c>
      <c r="R548" s="97">
        <v>0</v>
      </c>
      <c r="T548" s="98">
        <v>104</v>
      </c>
      <c r="U548" s="98">
        <v>82</v>
      </c>
      <c r="V548" s="98">
        <v>0.3</v>
      </c>
      <c r="W548" s="98">
        <v>1.1000000000000001</v>
      </c>
      <c r="X548" s="98">
        <v>0.2</v>
      </c>
      <c r="Y548" s="98">
        <v>0.18</v>
      </c>
      <c r="Z548" s="98">
        <v>1.67</v>
      </c>
      <c r="AA548" s="98">
        <v>0.55000000000000004</v>
      </c>
      <c r="AB548" s="98">
        <v>0.55000000000000004</v>
      </c>
      <c r="AC548" s="98">
        <v>0.28999999999999998</v>
      </c>
      <c r="AD548" s="98">
        <v>836</v>
      </c>
      <c r="AE548" s="98">
        <v>95</v>
      </c>
      <c r="AF548" s="95">
        <v>0.32200000000000001</v>
      </c>
      <c r="AG548" s="98">
        <v>9.7000000000000003E-2</v>
      </c>
      <c r="AH548" s="96">
        <v>17</v>
      </c>
      <c r="AI548" s="96">
        <v>2.2999999999999998</v>
      </c>
      <c r="AJ548" s="95">
        <v>0.65</v>
      </c>
      <c r="AK548" s="95">
        <v>0.15</v>
      </c>
      <c r="AL548" s="96">
        <v>5.8</v>
      </c>
      <c r="AM548" s="96">
        <v>1.8</v>
      </c>
      <c r="AN548" s="96">
        <v>5.3</v>
      </c>
      <c r="AO548" s="96">
        <v>1.3</v>
      </c>
      <c r="AP548" s="96">
        <v>1.3</v>
      </c>
      <c r="AQ548" s="96">
        <v>0.39</v>
      </c>
      <c r="AR548" s="96">
        <v>16.5</v>
      </c>
      <c r="AS548" s="93">
        <v>2.8</v>
      </c>
      <c r="AT548" s="96">
        <v>4.9400000000000004</v>
      </c>
      <c r="AU548" s="96">
        <v>0.83</v>
      </c>
      <c r="AV548" s="99">
        <v>65.099999999999994</v>
      </c>
      <c r="AW548" s="98">
        <v>6.9</v>
      </c>
      <c r="AX548" s="98">
        <v>25.7</v>
      </c>
      <c r="AY548" s="98">
        <v>3</v>
      </c>
      <c r="AZ548" s="98">
        <v>128</v>
      </c>
      <c r="BA548" s="98">
        <v>13</v>
      </c>
      <c r="BB548" s="98">
        <v>32.299999999999997</v>
      </c>
      <c r="BC548" s="98">
        <v>3.4</v>
      </c>
      <c r="BD548" s="98">
        <v>303</v>
      </c>
      <c r="BE548" s="98">
        <v>34</v>
      </c>
      <c r="BF548" s="98">
        <v>68.900000000000006</v>
      </c>
      <c r="BG548" s="98">
        <v>6</v>
      </c>
      <c r="BI548" s="93">
        <v>8.1999999999999993</v>
      </c>
      <c r="BJ548" s="98">
        <v>2.6</v>
      </c>
      <c r="BK548" s="98">
        <v>550000</v>
      </c>
      <c r="BL548" s="98">
        <v>46000</v>
      </c>
      <c r="BM548" s="98">
        <v>9570</v>
      </c>
      <c r="BN548" s="98">
        <v>990</v>
      </c>
      <c r="BO548" s="99">
        <v>140</v>
      </c>
      <c r="BP548" s="98">
        <v>13</v>
      </c>
      <c r="BQ548" s="99">
        <v>193</v>
      </c>
      <c r="BR548" s="98">
        <v>18</v>
      </c>
      <c r="CD548" s="3"/>
      <c r="CE548" s="3"/>
      <c r="CF548" s="3"/>
    </row>
    <row r="549" spans="1:90" s="98" customFormat="1">
      <c r="A549" s="3" t="s">
        <v>658</v>
      </c>
      <c r="B549" s="3" t="s">
        <v>268</v>
      </c>
      <c r="C549" s="3"/>
      <c r="D549" s="93">
        <v>7.0250000000000004</v>
      </c>
      <c r="E549" s="94">
        <v>0.2989</v>
      </c>
      <c r="F549" s="94">
        <v>1.1000000000000001E-3</v>
      </c>
      <c r="G549" s="95">
        <v>28.91</v>
      </c>
      <c r="H549" s="96">
        <v>0.7</v>
      </c>
      <c r="I549" s="97">
        <v>0.70209999999999995</v>
      </c>
      <c r="J549" s="95">
        <v>1.4999999999999999E-2</v>
      </c>
      <c r="K549" s="96">
        <v>0.51102999999999998</v>
      </c>
      <c r="M549" s="99">
        <v>3428.4</v>
      </c>
      <c r="N549" s="98">
        <v>57</v>
      </c>
      <c r="O549" s="99">
        <v>3463.2</v>
      </c>
      <c r="P549" s="98">
        <v>2.9</v>
      </c>
      <c r="Q549" s="98">
        <v>0.99</v>
      </c>
      <c r="R549" s="97">
        <v>7.7000000000000002E-3</v>
      </c>
      <c r="T549" s="98">
        <v>240</v>
      </c>
      <c r="U549" s="98">
        <v>76</v>
      </c>
      <c r="V549" s="98">
        <v>0.45</v>
      </c>
      <c r="W549" s="98">
        <v>0.8</v>
      </c>
      <c r="X549" s="98">
        <v>0.17</v>
      </c>
      <c r="Y549" s="98">
        <v>0.15</v>
      </c>
      <c r="Z549" s="98">
        <v>1.42</v>
      </c>
      <c r="AA549" s="98">
        <v>0.48</v>
      </c>
      <c r="AB549" s="98">
        <v>0.49</v>
      </c>
      <c r="AC549" s="98">
        <v>0.18</v>
      </c>
      <c r="AD549" s="98">
        <v>1021</v>
      </c>
      <c r="AE549" s="98">
        <v>97</v>
      </c>
      <c r="AF549" s="95">
        <v>2.4E-2</v>
      </c>
      <c r="AG549" s="98">
        <v>1.6E-2</v>
      </c>
      <c r="AH549" s="96">
        <v>12.5</v>
      </c>
      <c r="AI549" s="96">
        <v>1.7</v>
      </c>
      <c r="AJ549" s="95">
        <v>0.19900000000000001</v>
      </c>
      <c r="AK549" s="95">
        <v>5.5E-2</v>
      </c>
      <c r="AL549" s="96">
        <v>3.98</v>
      </c>
      <c r="AM549" s="96">
        <v>0.9</v>
      </c>
      <c r="AN549" s="96">
        <v>5.2</v>
      </c>
      <c r="AO549" s="96">
        <v>1.5</v>
      </c>
      <c r="AP549" s="96">
        <v>1.32</v>
      </c>
      <c r="AQ549" s="96">
        <v>0.27</v>
      </c>
      <c r="AR549" s="96">
        <v>21.7</v>
      </c>
      <c r="AS549" s="93">
        <v>3.4</v>
      </c>
      <c r="AT549" s="96">
        <v>6.99</v>
      </c>
      <c r="AU549" s="96">
        <v>0.87</v>
      </c>
      <c r="AV549" s="99">
        <v>80.099999999999994</v>
      </c>
      <c r="AW549" s="98">
        <v>6.4</v>
      </c>
      <c r="AX549" s="98">
        <v>31.1</v>
      </c>
      <c r="AY549" s="98">
        <v>1.7</v>
      </c>
      <c r="AZ549" s="98">
        <v>163</v>
      </c>
      <c r="BA549" s="98">
        <v>11</v>
      </c>
      <c r="BB549" s="98">
        <v>33</v>
      </c>
      <c r="BC549" s="98">
        <v>2.4</v>
      </c>
      <c r="BD549" s="98">
        <v>312</v>
      </c>
      <c r="BE549" s="98">
        <v>29</v>
      </c>
      <c r="BF549" s="98">
        <v>68.2</v>
      </c>
      <c r="BG549" s="98">
        <v>3.6</v>
      </c>
      <c r="BI549" s="93">
        <v>7.9</v>
      </c>
      <c r="BJ549" s="98">
        <v>2.5</v>
      </c>
      <c r="BK549" s="98">
        <v>547000</v>
      </c>
      <c r="BL549" s="98">
        <v>40000</v>
      </c>
      <c r="BM549" s="98">
        <v>9680</v>
      </c>
      <c r="BN549" s="98">
        <v>990</v>
      </c>
      <c r="BO549" s="99">
        <v>116</v>
      </c>
      <c r="BP549" s="98">
        <v>7.2</v>
      </c>
      <c r="BQ549" s="99">
        <v>130.80000000000001</v>
      </c>
      <c r="BR549" s="98">
        <v>9.9</v>
      </c>
      <c r="CD549" s="3"/>
      <c r="CE549" s="3"/>
      <c r="CF549" s="3"/>
    </row>
    <row r="550" spans="1:90" s="98" customFormat="1">
      <c r="A550" s="3" t="s">
        <v>659</v>
      </c>
      <c r="B550" s="3" t="s">
        <v>268</v>
      </c>
      <c r="C550" s="3"/>
      <c r="D550" s="93">
        <v>7.0279999999999996</v>
      </c>
      <c r="E550" s="94">
        <v>0.29909999999999998</v>
      </c>
      <c r="F550" s="94">
        <v>1.2999999999999999E-3</v>
      </c>
      <c r="G550" s="95">
        <v>28.73</v>
      </c>
      <c r="H550" s="96">
        <v>0.7</v>
      </c>
      <c r="I550" s="97">
        <v>0.69710000000000005</v>
      </c>
      <c r="J550" s="95">
        <v>1.4999999999999999E-2</v>
      </c>
      <c r="K550" s="96">
        <v>0.28726000000000002</v>
      </c>
      <c r="M550" s="99">
        <v>3409.8</v>
      </c>
      <c r="N550" s="98">
        <v>57</v>
      </c>
      <c r="O550" s="99">
        <v>3465.6</v>
      </c>
      <c r="P550" s="98">
        <v>2.4</v>
      </c>
      <c r="Q550" s="98">
        <v>1.6</v>
      </c>
      <c r="R550" s="97">
        <v>1.2E-2</v>
      </c>
      <c r="T550" s="98">
        <v>130</v>
      </c>
      <c r="U550" s="98">
        <v>110</v>
      </c>
      <c r="V550" s="98">
        <v>0.31</v>
      </c>
      <c r="W550" s="98">
        <v>0.78</v>
      </c>
      <c r="X550" s="98">
        <v>0.21</v>
      </c>
      <c r="Y550" s="98">
        <v>0.15</v>
      </c>
      <c r="Z550" s="98">
        <v>1.48</v>
      </c>
      <c r="AA550" s="98">
        <v>0.48</v>
      </c>
      <c r="AB550" s="98">
        <v>0.46</v>
      </c>
      <c r="AC550" s="98">
        <v>0.28999999999999998</v>
      </c>
      <c r="AD550" s="98">
        <v>543</v>
      </c>
      <c r="AE550" s="98">
        <v>47</v>
      </c>
      <c r="AF550" s="95">
        <v>2.5000000000000001E-2</v>
      </c>
      <c r="AG550" s="98">
        <v>2.4E-2</v>
      </c>
      <c r="AH550" s="96">
        <v>10.199999999999999</v>
      </c>
      <c r="AI550" s="96">
        <v>1.6</v>
      </c>
      <c r="AJ550" s="95">
        <v>7.6999999999999999E-2</v>
      </c>
      <c r="AK550" s="95">
        <v>3.1E-2</v>
      </c>
      <c r="AL550" s="96">
        <v>1.2</v>
      </c>
      <c r="AM550" s="96">
        <v>0.56000000000000005</v>
      </c>
      <c r="AN550" s="96">
        <v>1.71</v>
      </c>
      <c r="AO550" s="96">
        <v>0.69</v>
      </c>
      <c r="AP550" s="96">
        <v>0.42</v>
      </c>
      <c r="AQ550" s="96">
        <v>0.26</v>
      </c>
      <c r="AR550" s="96">
        <v>8.8000000000000007</v>
      </c>
      <c r="AS550" s="93">
        <v>2</v>
      </c>
      <c r="AT550" s="96">
        <v>2.98</v>
      </c>
      <c r="AU550" s="96">
        <v>0.63</v>
      </c>
      <c r="AV550" s="99">
        <v>39.4</v>
      </c>
      <c r="AW550" s="98">
        <v>5.9</v>
      </c>
      <c r="AX550" s="98">
        <v>16.399999999999999</v>
      </c>
      <c r="AY550" s="98">
        <v>2</v>
      </c>
      <c r="AZ550" s="98">
        <v>96</v>
      </c>
      <c r="BA550" s="98">
        <v>11</v>
      </c>
      <c r="BB550" s="98">
        <v>21.9</v>
      </c>
      <c r="BC550" s="98">
        <v>2.9</v>
      </c>
      <c r="BD550" s="98">
        <v>214</v>
      </c>
      <c r="BE550" s="98">
        <v>19</v>
      </c>
      <c r="BF550" s="98">
        <v>49.5</v>
      </c>
      <c r="BG550" s="98">
        <v>4.5</v>
      </c>
      <c r="BI550" s="93">
        <v>4.4000000000000004</v>
      </c>
      <c r="BJ550" s="98">
        <v>2.6</v>
      </c>
      <c r="BK550" s="98">
        <v>561000</v>
      </c>
      <c r="BL550" s="98">
        <v>44000</v>
      </c>
      <c r="BM550" s="98">
        <v>12300</v>
      </c>
      <c r="BN550" s="98">
        <v>1400</v>
      </c>
      <c r="BO550" s="99">
        <v>113</v>
      </c>
      <c r="BP550" s="98">
        <v>11</v>
      </c>
      <c r="BQ550" s="99">
        <v>186</v>
      </c>
      <c r="BR550" s="98">
        <v>17</v>
      </c>
      <c r="CD550" s="3"/>
      <c r="CE550" s="3"/>
      <c r="CF550" s="3"/>
      <c r="CL550" s="135"/>
    </row>
    <row r="551" spans="1:90" s="98" customFormat="1">
      <c r="A551" s="3" t="s">
        <v>660</v>
      </c>
      <c r="B551" s="3" t="s">
        <v>268</v>
      </c>
      <c r="C551" s="3"/>
      <c r="D551" s="93">
        <v>7.03</v>
      </c>
      <c r="E551" s="94">
        <v>0.29955999999999999</v>
      </c>
      <c r="F551" s="94">
        <v>9.8999999999999999E-4</v>
      </c>
      <c r="G551" s="95">
        <v>29.25</v>
      </c>
      <c r="H551" s="96">
        <v>0.71</v>
      </c>
      <c r="I551" s="97">
        <v>0.7087</v>
      </c>
      <c r="J551" s="95">
        <v>1.4999999999999999E-2</v>
      </c>
      <c r="K551" s="96">
        <v>0.53154999999999997</v>
      </c>
      <c r="M551" s="99">
        <v>3453.7</v>
      </c>
      <c r="N551" s="98">
        <v>57</v>
      </c>
      <c r="O551" s="99">
        <v>3468.1</v>
      </c>
      <c r="P551" s="98">
        <v>1.7</v>
      </c>
      <c r="Q551" s="98">
        <v>0.42</v>
      </c>
      <c r="R551" s="97">
        <v>3.0000000000000001E-3</v>
      </c>
      <c r="T551" s="98">
        <v>202</v>
      </c>
      <c r="U551" s="98">
        <v>58</v>
      </c>
      <c r="V551" s="98">
        <v>0.4</v>
      </c>
      <c r="W551" s="98">
        <v>1.1000000000000001</v>
      </c>
      <c r="X551" s="98">
        <v>0.17</v>
      </c>
      <c r="Y551" s="98">
        <v>0.15</v>
      </c>
      <c r="Z551" s="98">
        <v>1.43</v>
      </c>
      <c r="AA551" s="98">
        <v>0.52</v>
      </c>
      <c r="AB551" s="98">
        <v>0.8</v>
      </c>
      <c r="AC551" s="98">
        <v>0.4</v>
      </c>
      <c r="AD551" s="98">
        <v>380</v>
      </c>
      <c r="AE551" s="98">
        <v>38</v>
      </c>
      <c r="AF551" s="95">
        <v>0.02</v>
      </c>
      <c r="AG551" s="98">
        <v>1.4E-2</v>
      </c>
      <c r="AH551" s="96">
        <v>9.5</v>
      </c>
      <c r="AI551" s="96">
        <v>1.2</v>
      </c>
      <c r="AJ551" s="95">
        <v>3.2000000000000001E-2</v>
      </c>
      <c r="AK551" s="95">
        <v>3.5000000000000003E-2</v>
      </c>
      <c r="AL551" s="96">
        <v>0.66</v>
      </c>
      <c r="AM551" s="96">
        <v>0.32</v>
      </c>
      <c r="AN551" s="96">
        <v>0.33</v>
      </c>
      <c r="AO551" s="96">
        <v>0.25</v>
      </c>
      <c r="AP551" s="96">
        <v>0.33</v>
      </c>
      <c r="AQ551" s="96">
        <v>0.15</v>
      </c>
      <c r="AR551" s="96">
        <v>4</v>
      </c>
      <c r="AS551" s="93">
        <v>1.5</v>
      </c>
      <c r="AT551" s="96">
        <v>1.64</v>
      </c>
      <c r="AU551" s="96">
        <v>0.36</v>
      </c>
      <c r="AV551" s="99">
        <v>22.5</v>
      </c>
      <c r="AW551" s="98">
        <v>2.6</v>
      </c>
      <c r="AX551" s="98">
        <v>10.1</v>
      </c>
      <c r="AY551" s="98">
        <v>1.2</v>
      </c>
      <c r="AZ551" s="98">
        <v>63.1</v>
      </c>
      <c r="BA551" s="98">
        <v>6.6</v>
      </c>
      <c r="BB551" s="98">
        <v>18</v>
      </c>
      <c r="BC551" s="98">
        <v>2.2000000000000002</v>
      </c>
      <c r="BD551" s="98">
        <v>181</v>
      </c>
      <c r="BE551" s="98">
        <v>21</v>
      </c>
      <c r="BF551" s="98">
        <v>48.9</v>
      </c>
      <c r="BG551" s="98">
        <v>5.5</v>
      </c>
      <c r="BI551" s="93">
        <v>4.9000000000000004</v>
      </c>
      <c r="BJ551" s="98">
        <v>3</v>
      </c>
      <c r="BK551" s="98">
        <v>566000</v>
      </c>
      <c r="BL551" s="98">
        <v>54000</v>
      </c>
      <c r="BM551" s="98">
        <v>12000</v>
      </c>
      <c r="BN551" s="98">
        <v>1000</v>
      </c>
      <c r="BO551" s="99">
        <v>102.8</v>
      </c>
      <c r="BP551" s="98">
        <v>8.1</v>
      </c>
      <c r="BQ551" s="99">
        <v>190</v>
      </c>
      <c r="BR551" s="98">
        <v>15</v>
      </c>
      <c r="CD551" s="3"/>
      <c r="CE551" s="3"/>
      <c r="CF551" s="3"/>
      <c r="CL551" s="135"/>
    </row>
    <row r="552" spans="1:90" s="98" customFormat="1">
      <c r="A552" s="3" t="s">
        <v>661</v>
      </c>
      <c r="B552" s="3" t="s">
        <v>268</v>
      </c>
      <c r="C552" s="3"/>
      <c r="D552" s="93">
        <v>7.149</v>
      </c>
      <c r="E552" s="94">
        <v>0.29949999999999999</v>
      </c>
      <c r="F552" s="94">
        <v>1.2999999999999999E-3</v>
      </c>
      <c r="G552" s="95">
        <v>28.94</v>
      </c>
      <c r="H552" s="96">
        <v>0.7</v>
      </c>
      <c r="I552" s="97">
        <v>0.70140000000000002</v>
      </c>
      <c r="J552" s="95">
        <v>1.4999999999999999E-2</v>
      </c>
      <c r="K552" s="96">
        <v>0.59214</v>
      </c>
      <c r="M552" s="99">
        <v>3426</v>
      </c>
      <c r="N552" s="98">
        <v>57</v>
      </c>
      <c r="O552" s="99">
        <v>3468.1</v>
      </c>
      <c r="P552" s="98">
        <v>3.1</v>
      </c>
      <c r="Q552" s="98">
        <v>1.21</v>
      </c>
      <c r="R552" s="97">
        <v>8.9999999999999993E-3</v>
      </c>
      <c r="T552" s="98">
        <v>118</v>
      </c>
      <c r="U552" s="98">
        <v>75</v>
      </c>
      <c r="V552" s="98" t="s">
        <v>250</v>
      </c>
      <c r="W552" s="98" t="s">
        <v>250</v>
      </c>
      <c r="X552" s="98">
        <v>0.14000000000000001</v>
      </c>
      <c r="Y552" s="98">
        <v>0.15</v>
      </c>
      <c r="Z552" s="98">
        <v>1.94</v>
      </c>
      <c r="AA552" s="98">
        <v>0.71</v>
      </c>
      <c r="AB552" s="98">
        <v>0.74</v>
      </c>
      <c r="AC552" s="98">
        <v>0.27</v>
      </c>
      <c r="AD552" s="98">
        <v>717</v>
      </c>
      <c r="AE552" s="98">
        <v>68</v>
      </c>
      <c r="AF552" s="95">
        <v>2.4E-2</v>
      </c>
      <c r="AG552" s="98">
        <v>2.1000000000000001E-2</v>
      </c>
      <c r="AH552" s="96">
        <v>12.2</v>
      </c>
      <c r="AI552" s="96">
        <v>1.4</v>
      </c>
      <c r="AJ552" s="95">
        <v>0.04</v>
      </c>
      <c r="AK552" s="95">
        <v>0.03</v>
      </c>
      <c r="AL552" s="96">
        <v>0.99</v>
      </c>
      <c r="AM552" s="96">
        <v>0.48</v>
      </c>
      <c r="AN552" s="96">
        <v>1.7</v>
      </c>
      <c r="AO552" s="96">
        <v>1</v>
      </c>
      <c r="AP552" s="96">
        <v>0.68</v>
      </c>
      <c r="AQ552" s="96">
        <v>0.14000000000000001</v>
      </c>
      <c r="AR552" s="96">
        <v>11.6</v>
      </c>
      <c r="AS552" s="93">
        <v>2.9</v>
      </c>
      <c r="AT552" s="96">
        <v>3.56</v>
      </c>
      <c r="AU552" s="96">
        <v>0.67</v>
      </c>
      <c r="AV552" s="99">
        <v>50.7</v>
      </c>
      <c r="AW552" s="98">
        <v>4.5</v>
      </c>
      <c r="AX552" s="98">
        <v>20.8</v>
      </c>
      <c r="AY552" s="98">
        <v>2.4</v>
      </c>
      <c r="AZ552" s="98">
        <v>127</v>
      </c>
      <c r="BA552" s="98">
        <v>13</v>
      </c>
      <c r="BB552" s="98">
        <v>30.2</v>
      </c>
      <c r="BC552" s="98">
        <v>2.4</v>
      </c>
      <c r="BD552" s="98">
        <v>304</v>
      </c>
      <c r="BE552" s="98">
        <v>35</v>
      </c>
      <c r="BF552" s="98">
        <v>79.099999999999994</v>
      </c>
      <c r="BG552" s="98">
        <v>5.8</v>
      </c>
      <c r="BI552" s="93">
        <v>7.7</v>
      </c>
      <c r="BJ552" s="98">
        <v>2.4</v>
      </c>
      <c r="BK552" s="98">
        <v>581000</v>
      </c>
      <c r="BL552" s="98">
        <v>55000</v>
      </c>
      <c r="BM552" s="98">
        <v>11320</v>
      </c>
      <c r="BN552" s="98">
        <v>820</v>
      </c>
      <c r="BO552" s="99">
        <v>114.8</v>
      </c>
      <c r="BP552" s="98">
        <v>9.6999999999999993</v>
      </c>
      <c r="BQ552" s="99">
        <v>199</v>
      </c>
      <c r="BR552" s="98">
        <v>15</v>
      </c>
      <c r="CD552" s="3"/>
      <c r="CE552" s="3"/>
      <c r="CF552" s="3"/>
    </row>
    <row r="553" spans="1:90" s="98" customFormat="1">
      <c r="A553" s="3" t="s">
        <v>662</v>
      </c>
      <c r="B553" s="3" t="s">
        <v>268</v>
      </c>
      <c r="C553" s="3"/>
      <c r="D553" s="93">
        <v>7.0069999999999997</v>
      </c>
      <c r="E553" s="94">
        <v>0.29920000000000002</v>
      </c>
      <c r="F553" s="94">
        <v>1.1000000000000001E-3</v>
      </c>
      <c r="G553" s="95">
        <v>29.21</v>
      </c>
      <c r="H553" s="96">
        <v>0.71</v>
      </c>
      <c r="I553" s="97">
        <v>0.70899999999999996</v>
      </c>
      <c r="J553" s="95">
        <v>1.4999999999999999E-2</v>
      </c>
      <c r="K553" s="96">
        <v>0.78988999999999998</v>
      </c>
      <c r="M553" s="99">
        <v>3454.6</v>
      </c>
      <c r="N553" s="98">
        <v>58</v>
      </c>
      <c r="O553" s="99">
        <v>3465.9</v>
      </c>
      <c r="P553" s="98">
        <v>1.5</v>
      </c>
      <c r="Q553" s="98">
        <v>0.33</v>
      </c>
      <c r="R553" s="97">
        <v>3.3999999999999998E-3</v>
      </c>
      <c r="T553" s="98">
        <v>126</v>
      </c>
      <c r="U553" s="98">
        <v>89</v>
      </c>
      <c r="V553" s="98" t="s">
        <v>250</v>
      </c>
      <c r="W553" s="98" t="s">
        <v>250</v>
      </c>
      <c r="X553" s="98">
        <v>0.21</v>
      </c>
      <c r="Y553" s="98">
        <v>0.21</v>
      </c>
      <c r="Z553" s="98">
        <v>1.3</v>
      </c>
      <c r="AA553" s="98">
        <v>0.43</v>
      </c>
      <c r="AB553" s="98">
        <v>0.6</v>
      </c>
      <c r="AC553" s="98">
        <v>0.24</v>
      </c>
      <c r="AD553" s="98">
        <v>840</v>
      </c>
      <c r="AE553" s="98">
        <v>72</v>
      </c>
      <c r="AF553" s="95">
        <v>0.27800000000000002</v>
      </c>
      <c r="AG553" s="98">
        <v>6.9000000000000006E-2</v>
      </c>
      <c r="AH553" s="96">
        <v>15.7</v>
      </c>
      <c r="AI553" s="96">
        <v>2.2000000000000002</v>
      </c>
      <c r="AJ553" s="95">
        <v>0.32</v>
      </c>
      <c r="AK553" s="95">
        <v>0.1</v>
      </c>
      <c r="AL553" s="96">
        <v>2.4500000000000002</v>
      </c>
      <c r="AM553" s="96">
        <v>0.59</v>
      </c>
      <c r="AN553" s="96">
        <v>2.92</v>
      </c>
      <c r="AO553" s="96">
        <v>0.74</v>
      </c>
      <c r="AP553" s="96">
        <v>0.74</v>
      </c>
      <c r="AQ553" s="96">
        <v>0.23</v>
      </c>
      <c r="AR553" s="96">
        <v>12.2</v>
      </c>
      <c r="AS553" s="93">
        <v>3.2</v>
      </c>
      <c r="AT553" s="96">
        <v>4.68</v>
      </c>
      <c r="AU553" s="96">
        <v>0.54</v>
      </c>
      <c r="AV553" s="99">
        <v>59.6</v>
      </c>
      <c r="AW553" s="98">
        <v>6.8</v>
      </c>
      <c r="AX553" s="98">
        <v>24.6</v>
      </c>
      <c r="AY553" s="98">
        <v>2.2999999999999998</v>
      </c>
      <c r="AZ553" s="98">
        <v>146</v>
      </c>
      <c r="BA553" s="98">
        <v>16</v>
      </c>
      <c r="BB553" s="98">
        <v>35.299999999999997</v>
      </c>
      <c r="BC553" s="98">
        <v>3.3</v>
      </c>
      <c r="BD553" s="98">
        <v>344</v>
      </c>
      <c r="BE553" s="98">
        <v>32</v>
      </c>
      <c r="BF553" s="98">
        <v>78.400000000000006</v>
      </c>
      <c r="BG553" s="98">
        <v>8</v>
      </c>
      <c r="BI553" s="93">
        <v>5.6</v>
      </c>
      <c r="BJ553" s="98">
        <v>3.1</v>
      </c>
      <c r="BK553" s="98">
        <v>561000</v>
      </c>
      <c r="BL553" s="98">
        <v>58000</v>
      </c>
      <c r="BM553" s="98">
        <v>11400</v>
      </c>
      <c r="BN553" s="98">
        <v>1100</v>
      </c>
      <c r="BO553" s="99">
        <v>133</v>
      </c>
      <c r="BP553" s="98">
        <v>13</v>
      </c>
      <c r="BQ553" s="99">
        <v>205</v>
      </c>
      <c r="BR553" s="98">
        <v>17</v>
      </c>
      <c r="CD553" s="3"/>
      <c r="CE553" s="3"/>
      <c r="CF553" s="3"/>
      <c r="CL553" s="135"/>
    </row>
    <row r="554" spans="1:90" s="98" customFormat="1">
      <c r="A554" s="3" t="s">
        <v>663</v>
      </c>
      <c r="B554" s="3" t="s">
        <v>268</v>
      </c>
      <c r="C554" s="3"/>
      <c r="D554" s="93">
        <v>7.0469999999999997</v>
      </c>
      <c r="E554" s="94">
        <v>0.2984</v>
      </c>
      <c r="F554" s="94">
        <v>1.2999999999999999E-3</v>
      </c>
      <c r="G554" s="95">
        <v>29.22</v>
      </c>
      <c r="H554" s="96">
        <v>0.71</v>
      </c>
      <c r="I554" s="97">
        <v>0.7107</v>
      </c>
      <c r="J554" s="95">
        <v>1.4999999999999999E-2</v>
      </c>
      <c r="K554" s="96">
        <v>0.65112999999999999</v>
      </c>
      <c r="M554" s="99">
        <v>3461</v>
      </c>
      <c r="N554" s="98">
        <v>58</v>
      </c>
      <c r="O554" s="99">
        <v>3462.6</v>
      </c>
      <c r="P554" s="98">
        <v>3.4</v>
      </c>
      <c r="Q554" s="98">
        <v>0.04</v>
      </c>
      <c r="R554" s="97">
        <v>1.1000000000000001E-3</v>
      </c>
      <c r="T554" s="98">
        <v>255</v>
      </c>
      <c r="U554" s="98">
        <v>67</v>
      </c>
      <c r="V554" s="98">
        <v>1.2</v>
      </c>
      <c r="W554" s="98">
        <v>1.1000000000000001</v>
      </c>
      <c r="X554" s="98">
        <v>0.17</v>
      </c>
      <c r="Y554" s="98">
        <v>0.15</v>
      </c>
      <c r="Z554" s="98">
        <v>1.38</v>
      </c>
      <c r="AA554" s="98">
        <v>0.51</v>
      </c>
      <c r="AB554" s="98">
        <v>0.41</v>
      </c>
      <c r="AC554" s="98">
        <v>0.23</v>
      </c>
      <c r="AD554" s="98">
        <v>562</v>
      </c>
      <c r="AE554" s="98">
        <v>47</v>
      </c>
      <c r="AF554" s="95">
        <v>1.6E-2</v>
      </c>
      <c r="AG554" s="98">
        <v>1.4999999999999999E-2</v>
      </c>
      <c r="AH554" s="96">
        <v>11.4</v>
      </c>
      <c r="AI554" s="96">
        <v>1.2</v>
      </c>
      <c r="AJ554" s="95">
        <v>4.7E-2</v>
      </c>
      <c r="AK554" s="95">
        <v>2.1000000000000001E-2</v>
      </c>
      <c r="AL554" s="96">
        <v>0.87</v>
      </c>
      <c r="AM554" s="96">
        <v>0.45</v>
      </c>
      <c r="AN554" s="96">
        <v>1.37</v>
      </c>
      <c r="AO554" s="96">
        <v>0.44</v>
      </c>
      <c r="AP554" s="96">
        <v>0.63</v>
      </c>
      <c r="AQ554" s="96">
        <v>0.21</v>
      </c>
      <c r="AR554" s="96">
        <v>11.6</v>
      </c>
      <c r="AS554" s="93">
        <v>2.1</v>
      </c>
      <c r="AT554" s="96">
        <v>3.95</v>
      </c>
      <c r="AU554" s="96">
        <v>0.59</v>
      </c>
      <c r="AV554" s="99">
        <v>48.1</v>
      </c>
      <c r="AW554" s="98">
        <v>7</v>
      </c>
      <c r="AX554" s="98">
        <v>18.399999999999999</v>
      </c>
      <c r="AY554" s="98">
        <v>1.9</v>
      </c>
      <c r="AZ554" s="98">
        <v>99</v>
      </c>
      <c r="BA554" s="98">
        <v>10</v>
      </c>
      <c r="BB554" s="98">
        <v>20.100000000000001</v>
      </c>
      <c r="BC554" s="98">
        <v>1.9</v>
      </c>
      <c r="BD554" s="98">
        <v>193</v>
      </c>
      <c r="BE554" s="98">
        <v>12</v>
      </c>
      <c r="BF554" s="98">
        <v>42.4</v>
      </c>
      <c r="BG554" s="98">
        <v>4.5</v>
      </c>
      <c r="BI554" s="93">
        <v>7.9</v>
      </c>
      <c r="BJ554" s="98">
        <v>2.1</v>
      </c>
      <c r="BK554" s="98">
        <v>549000</v>
      </c>
      <c r="BL554" s="98">
        <v>48000</v>
      </c>
      <c r="BM554" s="98">
        <v>9260</v>
      </c>
      <c r="BN554" s="98">
        <v>730</v>
      </c>
      <c r="BO554" s="99">
        <v>75</v>
      </c>
      <c r="BP554" s="98">
        <v>4.9000000000000004</v>
      </c>
      <c r="BQ554" s="99">
        <v>110.1</v>
      </c>
      <c r="BR554" s="98">
        <v>7.6</v>
      </c>
      <c r="CD554" s="3"/>
      <c r="CE554" s="3"/>
      <c r="CF554" s="3"/>
    </row>
    <row r="555" spans="1:90" s="98" customFormat="1">
      <c r="A555" s="3" t="s">
        <v>664</v>
      </c>
      <c r="B555" s="3" t="s">
        <v>268</v>
      </c>
      <c r="C555" s="3"/>
      <c r="D555" s="93">
        <v>7.0190000000000001</v>
      </c>
      <c r="E555" s="94">
        <v>0.29880000000000001</v>
      </c>
      <c r="F555" s="94">
        <v>1.2999999999999999E-3</v>
      </c>
      <c r="G555" s="95">
        <v>28.95</v>
      </c>
      <c r="H555" s="96">
        <v>0.7</v>
      </c>
      <c r="I555" s="97">
        <v>0.70330000000000004</v>
      </c>
      <c r="J555" s="95">
        <v>1.4999999999999999E-2</v>
      </c>
      <c r="K555" s="96">
        <v>0.29788999999999999</v>
      </c>
      <c r="M555" s="99">
        <v>3433.2</v>
      </c>
      <c r="N555" s="98">
        <v>57</v>
      </c>
      <c r="O555" s="99">
        <v>3464.2</v>
      </c>
      <c r="P555" s="98">
        <v>2.8</v>
      </c>
      <c r="Q555" s="98">
        <v>0.9</v>
      </c>
      <c r="R555" s="97">
        <v>6.8999999999999999E-3</v>
      </c>
      <c r="T555" s="98">
        <v>157</v>
      </c>
      <c r="U555" s="98">
        <v>98</v>
      </c>
      <c r="V555" s="98">
        <v>0.14000000000000001</v>
      </c>
      <c r="W555" s="98">
        <v>0.76</v>
      </c>
      <c r="X555" s="98" t="s">
        <v>250</v>
      </c>
      <c r="Y555" s="98" t="s">
        <v>250</v>
      </c>
      <c r="Z555" s="98">
        <v>1.2</v>
      </c>
      <c r="AA555" s="98">
        <v>0.63</v>
      </c>
      <c r="AB555" s="98">
        <v>0.73</v>
      </c>
      <c r="AC555" s="98">
        <v>0.38</v>
      </c>
      <c r="AD555" s="98">
        <v>630</v>
      </c>
      <c r="AE555" s="98">
        <v>71</v>
      </c>
      <c r="AF555" s="95">
        <v>9.5999999999999992E-3</v>
      </c>
      <c r="AG555" s="98">
        <v>9.4999999999999998E-3</v>
      </c>
      <c r="AH555" s="96">
        <v>10.3</v>
      </c>
      <c r="AI555" s="96">
        <v>1.4</v>
      </c>
      <c r="AJ555" s="95">
        <v>2.5000000000000001E-2</v>
      </c>
      <c r="AK555" s="95">
        <v>1.7999999999999999E-2</v>
      </c>
      <c r="AL555" s="96">
        <v>0.86</v>
      </c>
      <c r="AM555" s="96">
        <v>0.49</v>
      </c>
      <c r="AN555" s="96">
        <v>1.9</v>
      </c>
      <c r="AO555" s="96">
        <v>1.1000000000000001</v>
      </c>
      <c r="AP555" s="96">
        <v>0.61</v>
      </c>
      <c r="AQ555" s="96">
        <v>0.18</v>
      </c>
      <c r="AR555" s="96">
        <v>11.6</v>
      </c>
      <c r="AS555" s="93">
        <v>1.9</v>
      </c>
      <c r="AT555" s="96">
        <v>3.34</v>
      </c>
      <c r="AU555" s="96">
        <v>0.54</v>
      </c>
      <c r="AV555" s="99">
        <v>41.8</v>
      </c>
      <c r="AW555" s="98">
        <v>4.7</v>
      </c>
      <c r="AX555" s="98">
        <v>18</v>
      </c>
      <c r="AY555" s="98">
        <v>1.9</v>
      </c>
      <c r="AZ555" s="98">
        <v>105</v>
      </c>
      <c r="BA555" s="98">
        <v>13</v>
      </c>
      <c r="BB555" s="98">
        <v>24.7</v>
      </c>
      <c r="BC555" s="98">
        <v>3.5</v>
      </c>
      <c r="BD555" s="98">
        <v>255</v>
      </c>
      <c r="BE555" s="98">
        <v>24</v>
      </c>
      <c r="BF555" s="98">
        <v>58.3</v>
      </c>
      <c r="BG555" s="98">
        <v>6.4</v>
      </c>
      <c r="BI555" s="93">
        <v>6.9</v>
      </c>
      <c r="BJ555" s="98">
        <v>2.7</v>
      </c>
      <c r="BK555" s="98">
        <v>581000</v>
      </c>
      <c r="BL555" s="98">
        <v>61000</v>
      </c>
      <c r="BM555" s="98">
        <v>10500</v>
      </c>
      <c r="BN555" s="98">
        <v>1000</v>
      </c>
      <c r="BO555" s="99">
        <v>80.7</v>
      </c>
      <c r="BP555" s="98">
        <v>6.9</v>
      </c>
      <c r="BQ555" s="99">
        <v>137</v>
      </c>
      <c r="BR555" s="98">
        <v>13</v>
      </c>
      <c r="CD555" s="3"/>
      <c r="CE555" s="3"/>
      <c r="CF555" s="3"/>
      <c r="CL555" s="135"/>
    </row>
    <row r="556" spans="1:90" s="98" customFormat="1">
      <c r="A556" s="3" t="s">
        <v>665</v>
      </c>
      <c r="B556" s="3" t="s">
        <v>268</v>
      </c>
      <c r="C556" s="3"/>
      <c r="D556" s="93">
        <v>7.0410000000000004</v>
      </c>
      <c r="E556" s="94">
        <v>0.29899999999999999</v>
      </c>
      <c r="F556" s="94">
        <v>1.1000000000000001E-3</v>
      </c>
      <c r="G556" s="95">
        <v>29.04</v>
      </c>
      <c r="H556" s="96">
        <v>0.7</v>
      </c>
      <c r="I556" s="97">
        <v>0.70520000000000005</v>
      </c>
      <c r="J556" s="95">
        <v>1.4999999999999999E-2</v>
      </c>
      <c r="K556" s="96">
        <v>0.53495000000000004</v>
      </c>
      <c r="M556" s="99">
        <v>3440.2</v>
      </c>
      <c r="N556" s="98">
        <v>57</v>
      </c>
      <c r="O556" s="99">
        <v>3465.1</v>
      </c>
      <c r="P556" s="98">
        <v>2.2999999999999998</v>
      </c>
      <c r="Q556" s="98">
        <v>0.72</v>
      </c>
      <c r="R556" s="97">
        <v>5.0000000000000001E-3</v>
      </c>
      <c r="T556" s="98">
        <v>249</v>
      </c>
      <c r="U556" s="98">
        <v>89</v>
      </c>
      <c r="V556" s="98" t="s">
        <v>250</v>
      </c>
      <c r="W556" s="98" t="s">
        <v>250</v>
      </c>
      <c r="X556" s="98">
        <v>0.32</v>
      </c>
      <c r="Y556" s="98">
        <v>0.22</v>
      </c>
      <c r="Z556" s="98">
        <v>1.21</v>
      </c>
      <c r="AA556" s="98">
        <v>0.49</v>
      </c>
      <c r="AB556" s="98">
        <v>0.8</v>
      </c>
      <c r="AC556" s="98">
        <v>0.24</v>
      </c>
      <c r="AD556" s="98">
        <v>998</v>
      </c>
      <c r="AE556" s="98">
        <v>92</v>
      </c>
      <c r="AF556" s="95">
        <v>1.7999999999999999E-2</v>
      </c>
      <c r="AG556" s="98">
        <v>1.4999999999999999E-2</v>
      </c>
      <c r="AH556" s="96">
        <v>16</v>
      </c>
      <c r="AI556" s="96">
        <v>1.6</v>
      </c>
      <c r="AJ556" s="95">
        <v>0.108</v>
      </c>
      <c r="AK556" s="95">
        <v>3.6999999999999998E-2</v>
      </c>
      <c r="AL556" s="96">
        <v>2.16</v>
      </c>
      <c r="AM556" s="96">
        <v>0.7</v>
      </c>
      <c r="AN556" s="96">
        <v>3.01</v>
      </c>
      <c r="AO556" s="96">
        <v>0.91</v>
      </c>
      <c r="AP556" s="96">
        <v>0.96</v>
      </c>
      <c r="AQ556" s="96">
        <v>0.3</v>
      </c>
      <c r="AR556" s="96">
        <v>18.3</v>
      </c>
      <c r="AS556" s="93">
        <v>3</v>
      </c>
      <c r="AT556" s="96">
        <v>5.97</v>
      </c>
      <c r="AU556" s="96">
        <v>0.73</v>
      </c>
      <c r="AV556" s="99">
        <v>75.3</v>
      </c>
      <c r="AW556" s="98">
        <v>6</v>
      </c>
      <c r="AX556" s="98">
        <v>31.5</v>
      </c>
      <c r="AY556" s="98">
        <v>3.7</v>
      </c>
      <c r="AZ556" s="98">
        <v>175</v>
      </c>
      <c r="BA556" s="98">
        <v>14</v>
      </c>
      <c r="BB556" s="98">
        <v>37.299999999999997</v>
      </c>
      <c r="BC556" s="98">
        <v>3.7</v>
      </c>
      <c r="BD556" s="98">
        <v>375</v>
      </c>
      <c r="BE556" s="98">
        <v>28</v>
      </c>
      <c r="BF556" s="98">
        <v>82.1</v>
      </c>
      <c r="BG556" s="98">
        <v>7.4</v>
      </c>
      <c r="BI556" s="93">
        <v>5.5</v>
      </c>
      <c r="BJ556" s="98">
        <v>2.2000000000000002</v>
      </c>
      <c r="BK556" s="98">
        <v>569000</v>
      </c>
      <c r="BL556" s="98">
        <v>56000</v>
      </c>
      <c r="BM556" s="98">
        <v>11000</v>
      </c>
      <c r="BN556" s="98">
        <v>1200</v>
      </c>
      <c r="BO556" s="99">
        <v>175</v>
      </c>
      <c r="BP556" s="98">
        <v>12</v>
      </c>
      <c r="BQ556" s="99">
        <v>226</v>
      </c>
      <c r="BR556" s="98">
        <v>16</v>
      </c>
      <c r="CD556" s="3"/>
      <c r="CE556" s="3"/>
      <c r="CF556" s="3"/>
      <c r="CL556" s="135"/>
    </row>
    <row r="557" spans="1:90" s="98" customFormat="1">
      <c r="A557" s="3"/>
      <c r="B557" s="3"/>
      <c r="C557" s="3"/>
      <c r="D557" s="93"/>
      <c r="E557" s="94"/>
      <c r="F557" s="94"/>
      <c r="G557" s="95"/>
      <c r="H557" s="96"/>
      <c r="I557" s="97"/>
      <c r="J557" s="95"/>
      <c r="K557" s="96"/>
      <c r="M557" s="99"/>
      <c r="O557" s="99"/>
      <c r="R557" s="97"/>
      <c r="AF557" s="95"/>
      <c r="AH557" s="96"/>
      <c r="AI557" s="96"/>
      <c r="AJ557" s="95"/>
      <c r="AK557" s="95"/>
      <c r="AL557" s="96"/>
      <c r="AM557" s="96"/>
      <c r="AN557" s="96"/>
      <c r="AO557" s="96"/>
      <c r="AP557" s="96"/>
      <c r="AQ557" s="96"/>
      <c r="AR557" s="96"/>
      <c r="AS557" s="93"/>
      <c r="AT557" s="96"/>
      <c r="AU557" s="96"/>
      <c r="AV557" s="99"/>
      <c r="BI557" s="93"/>
      <c r="BO557" s="99"/>
      <c r="BQ557" s="99"/>
      <c r="CD557" s="3"/>
      <c r="CE557" s="3"/>
      <c r="CF557" s="3"/>
    </row>
    <row r="558" spans="1:90" s="98" customFormat="1">
      <c r="A558" s="3" t="s">
        <v>666</v>
      </c>
      <c r="B558" s="92" t="s">
        <v>244</v>
      </c>
      <c r="C558" s="3"/>
      <c r="D558" s="93">
        <v>11.01</v>
      </c>
      <c r="E558" s="94">
        <v>7.3899999999999993E-2</v>
      </c>
      <c r="F558" s="94">
        <v>2.5000000000000001E-3</v>
      </c>
      <c r="G558" s="95">
        <v>1.792</v>
      </c>
      <c r="H558" s="96">
        <v>8.2000000000000003E-2</v>
      </c>
      <c r="I558" s="97">
        <v>0.1754</v>
      </c>
      <c r="J558" s="95">
        <v>4.7999999999999996E-3</v>
      </c>
      <c r="K558" s="96">
        <v>0.17771000000000001</v>
      </c>
      <c r="M558" s="99">
        <v>1041.5999999999999</v>
      </c>
      <c r="N558" s="98">
        <v>27</v>
      </c>
      <c r="O558" s="99">
        <v>1029</v>
      </c>
      <c r="P558" s="98">
        <v>42</v>
      </c>
      <c r="Q558" s="98">
        <v>-1.9</v>
      </c>
      <c r="R558" s="97">
        <v>2.8999999999999998E-3</v>
      </c>
      <c r="T558" s="98">
        <v>20</v>
      </c>
      <c r="U558" s="98">
        <v>160</v>
      </c>
      <c r="V558" s="98">
        <v>2</v>
      </c>
      <c r="W558" s="98">
        <v>1.9</v>
      </c>
      <c r="X558" s="98">
        <v>0.05</v>
      </c>
      <c r="Y558" s="98">
        <v>0.11</v>
      </c>
      <c r="Z558" s="98">
        <v>1.51</v>
      </c>
      <c r="AA558" s="98">
        <v>0.54</v>
      </c>
      <c r="AB558" s="98">
        <v>0.76</v>
      </c>
      <c r="AC558" s="98">
        <v>0.3</v>
      </c>
      <c r="AD558" s="98">
        <v>141</v>
      </c>
      <c r="AE558" s="98">
        <v>15</v>
      </c>
      <c r="AF558" s="95">
        <v>2.5000000000000001E-2</v>
      </c>
      <c r="AG558" s="98">
        <v>3.7999999999999999E-2</v>
      </c>
      <c r="AH558" s="96">
        <v>3.08</v>
      </c>
      <c r="AI558" s="96">
        <v>0.74</v>
      </c>
      <c r="AJ558" s="95">
        <v>2.4E-2</v>
      </c>
      <c r="AK558" s="95">
        <v>2.5000000000000001E-2</v>
      </c>
      <c r="AL558" s="96">
        <v>0.22</v>
      </c>
      <c r="AM558" s="96">
        <v>0.21</v>
      </c>
      <c r="AN558" s="96">
        <v>0.4</v>
      </c>
      <c r="AO558" s="96">
        <v>0.3</v>
      </c>
      <c r="AP558" s="96">
        <v>5.6000000000000001E-2</v>
      </c>
      <c r="AQ558" s="96">
        <v>6.2E-2</v>
      </c>
      <c r="AR558" s="96">
        <v>1.93</v>
      </c>
      <c r="AS558" s="93">
        <v>0.86</v>
      </c>
      <c r="AT558" s="96">
        <v>0.68</v>
      </c>
      <c r="AU558" s="96">
        <v>0.3</v>
      </c>
      <c r="AV558" s="99">
        <v>11.1</v>
      </c>
      <c r="AW558" s="98">
        <v>1.4</v>
      </c>
      <c r="AX558" s="98">
        <v>4.75</v>
      </c>
      <c r="AY558" s="98">
        <v>0.67</v>
      </c>
      <c r="AZ558" s="98">
        <v>26.3</v>
      </c>
      <c r="BA558" s="98">
        <v>3.2</v>
      </c>
      <c r="BB558" s="98">
        <v>6.61</v>
      </c>
      <c r="BC558" s="98">
        <v>0.65</v>
      </c>
      <c r="BD558" s="98">
        <v>65.7</v>
      </c>
      <c r="BE558" s="98">
        <v>9.6</v>
      </c>
      <c r="BF558" s="98">
        <v>14.5</v>
      </c>
      <c r="BG558" s="98">
        <v>1.9</v>
      </c>
      <c r="BI558" s="93">
        <v>6.5</v>
      </c>
      <c r="BJ558" s="98">
        <v>2.8</v>
      </c>
      <c r="BK558" s="98">
        <v>559000</v>
      </c>
      <c r="BL558" s="98">
        <v>50000</v>
      </c>
      <c r="BM558" s="98">
        <v>6170</v>
      </c>
      <c r="BN558" s="98">
        <v>500</v>
      </c>
      <c r="BO558" s="99">
        <v>25.6</v>
      </c>
      <c r="BP558" s="98">
        <v>2</v>
      </c>
      <c r="BQ558" s="99">
        <v>76.099999999999994</v>
      </c>
      <c r="BR558" s="98">
        <v>6.3</v>
      </c>
      <c r="CD558" s="3"/>
      <c r="CE558" s="3"/>
      <c r="CF558" s="3"/>
    </row>
    <row r="559" spans="1:90" s="98" customFormat="1">
      <c r="A559" s="3" t="s">
        <v>667</v>
      </c>
      <c r="B559" s="92" t="s">
        <v>244</v>
      </c>
      <c r="C559" s="3"/>
      <c r="D559" s="93">
        <v>11.007999999999999</v>
      </c>
      <c r="E559" s="94">
        <v>7.4499999999999997E-2</v>
      </c>
      <c r="F559" s="94">
        <v>3.0999999999999999E-3</v>
      </c>
      <c r="G559" s="95">
        <v>1.8169999999999999</v>
      </c>
      <c r="H559" s="96">
        <v>9.2999999999999999E-2</v>
      </c>
      <c r="I559" s="97">
        <v>0.17649999999999999</v>
      </c>
      <c r="J559" s="95">
        <v>4.8999999999999998E-3</v>
      </c>
      <c r="K559" s="96">
        <v>3.9448999999999998E-2</v>
      </c>
      <c r="M559" s="99">
        <v>1047.7</v>
      </c>
      <c r="N559" s="98">
        <v>27</v>
      </c>
      <c r="O559" s="99">
        <v>1050</v>
      </c>
      <c r="P559" s="98">
        <v>47</v>
      </c>
      <c r="Q559" s="98">
        <v>-2.1</v>
      </c>
      <c r="R559" s="97">
        <v>3.0999999999999999E-3</v>
      </c>
      <c r="T559" s="98" t="s">
        <v>250</v>
      </c>
      <c r="U559" s="98" t="s">
        <v>250</v>
      </c>
      <c r="V559" s="98" t="s">
        <v>250</v>
      </c>
      <c r="W559" s="98" t="s">
        <v>250</v>
      </c>
      <c r="X559" s="98">
        <v>4.2999999999999997E-2</v>
      </c>
      <c r="Y559" s="98">
        <v>9.0999999999999998E-2</v>
      </c>
      <c r="Z559" s="98">
        <v>1.1399999999999999</v>
      </c>
      <c r="AA559" s="98">
        <v>0.44</v>
      </c>
      <c r="AB559" s="98">
        <v>0.65</v>
      </c>
      <c r="AC559" s="98">
        <v>0.28999999999999998</v>
      </c>
      <c r="AD559" s="98">
        <v>153</v>
      </c>
      <c r="AE559" s="98">
        <v>21</v>
      </c>
      <c r="AF559" s="95">
        <v>3.1E-2</v>
      </c>
      <c r="AG559" s="98">
        <v>0.02</v>
      </c>
      <c r="AH559" s="96">
        <v>2.96</v>
      </c>
      <c r="AI559" s="96">
        <v>0.56999999999999995</v>
      </c>
      <c r="AJ559" s="95">
        <v>3.3E-3</v>
      </c>
      <c r="AK559" s="95">
        <v>8.6E-3</v>
      </c>
      <c r="AL559" s="96">
        <v>0.06</v>
      </c>
      <c r="AM559" s="96">
        <v>0.13</v>
      </c>
      <c r="AN559" s="96">
        <v>0.62</v>
      </c>
      <c r="AO559" s="96">
        <v>0.46</v>
      </c>
      <c r="AP559" s="96">
        <v>0.31</v>
      </c>
      <c r="AQ559" s="96">
        <v>0.17</v>
      </c>
      <c r="AR559" s="96">
        <v>2</v>
      </c>
      <c r="AS559" s="93">
        <v>1.2</v>
      </c>
      <c r="AT559" s="96">
        <v>0.98</v>
      </c>
      <c r="AU559" s="96">
        <v>0.38</v>
      </c>
      <c r="AV559" s="99">
        <v>10.6</v>
      </c>
      <c r="AW559" s="98">
        <v>2.1</v>
      </c>
      <c r="AX559" s="98">
        <v>4.83</v>
      </c>
      <c r="AY559" s="98">
        <v>0.65</v>
      </c>
      <c r="AZ559" s="98">
        <v>25.9</v>
      </c>
      <c r="BA559" s="98">
        <v>2.8</v>
      </c>
      <c r="BB559" s="98">
        <v>7</v>
      </c>
      <c r="BC559" s="98">
        <v>0.84</v>
      </c>
      <c r="BD559" s="98">
        <v>69</v>
      </c>
      <c r="BE559" s="98">
        <v>11</v>
      </c>
      <c r="BF559" s="98">
        <v>15.5</v>
      </c>
      <c r="BG559" s="98">
        <v>2.2999999999999998</v>
      </c>
      <c r="BI559" s="93">
        <v>3.1</v>
      </c>
      <c r="BJ559" s="98">
        <v>2.7</v>
      </c>
      <c r="BK559" s="98">
        <v>588000</v>
      </c>
      <c r="BL559" s="98">
        <v>84000</v>
      </c>
      <c r="BM559" s="98">
        <v>6420</v>
      </c>
      <c r="BN559" s="98">
        <v>850</v>
      </c>
      <c r="BO559" s="99">
        <v>26.9</v>
      </c>
      <c r="BP559" s="98">
        <v>2.7</v>
      </c>
      <c r="BQ559" s="99">
        <v>79.5</v>
      </c>
      <c r="BR559" s="98">
        <v>8.1</v>
      </c>
      <c r="CD559" s="3"/>
      <c r="CE559" s="3"/>
      <c r="CF559" s="3"/>
    </row>
    <row r="560" spans="1:90" s="98" customFormat="1">
      <c r="A560" s="3" t="s">
        <v>668</v>
      </c>
      <c r="B560" s="92" t="s">
        <v>244</v>
      </c>
      <c r="C560" s="3"/>
      <c r="D560" s="93">
        <v>7.8478000000000003</v>
      </c>
      <c r="E560" s="94">
        <v>7.46E-2</v>
      </c>
      <c r="F560" s="94">
        <v>3.0000000000000001E-3</v>
      </c>
      <c r="G560" s="95">
        <v>1.7949999999999999</v>
      </c>
      <c r="H560" s="96">
        <v>8.7999999999999995E-2</v>
      </c>
      <c r="I560" s="97">
        <v>0.17510000000000001</v>
      </c>
      <c r="J560" s="95">
        <v>4.7999999999999996E-3</v>
      </c>
      <c r="K560" s="96">
        <v>7.0930999999999994E-2</v>
      </c>
      <c r="M560" s="99">
        <v>1040.0999999999999</v>
      </c>
      <c r="N560" s="98">
        <v>26</v>
      </c>
      <c r="O560" s="99">
        <v>1056</v>
      </c>
      <c r="P560" s="98">
        <v>34</v>
      </c>
      <c r="Q560" s="98">
        <v>0.9</v>
      </c>
      <c r="R560" s="97">
        <v>1.6000000000000001E-3</v>
      </c>
      <c r="T560" s="98">
        <v>60</v>
      </c>
      <c r="U560" s="98">
        <v>200</v>
      </c>
      <c r="V560" s="98">
        <v>1.2</v>
      </c>
      <c r="W560" s="98">
        <v>1.7</v>
      </c>
      <c r="X560" s="98">
        <v>0.28000000000000003</v>
      </c>
      <c r="Y560" s="98">
        <v>0.32</v>
      </c>
      <c r="Z560" s="98">
        <v>2.16</v>
      </c>
      <c r="AA560" s="98">
        <v>0.92</v>
      </c>
      <c r="AB560" s="98">
        <v>0.57999999999999996</v>
      </c>
      <c r="AC560" s="98">
        <v>0.33</v>
      </c>
      <c r="AD560" s="98">
        <v>149</v>
      </c>
      <c r="AE560" s="98">
        <v>19</v>
      </c>
      <c r="AF560" s="95">
        <v>6.9000000000000006E-2</v>
      </c>
      <c r="AG560" s="98">
        <v>4.9000000000000002E-2</v>
      </c>
      <c r="AH560" s="96">
        <v>2.6</v>
      </c>
      <c r="AI560" s="96">
        <v>1.1000000000000001</v>
      </c>
      <c r="AJ560" s="95">
        <v>2.1000000000000001E-2</v>
      </c>
      <c r="AK560" s="95">
        <v>0.02</v>
      </c>
      <c r="AL560" s="96" t="s">
        <v>250</v>
      </c>
      <c r="AM560" s="96" t="s">
        <v>250</v>
      </c>
      <c r="AN560" s="96">
        <v>0.5</v>
      </c>
      <c r="AO560" s="96">
        <v>0.52</v>
      </c>
      <c r="AP560" s="96">
        <v>0.11</v>
      </c>
      <c r="AQ560" s="96">
        <v>0.13</v>
      </c>
      <c r="AR560" s="96">
        <v>2.2000000000000002</v>
      </c>
      <c r="AS560" s="93">
        <v>1.7</v>
      </c>
      <c r="AT560" s="96">
        <v>0.79</v>
      </c>
      <c r="AU560" s="96">
        <v>0.36</v>
      </c>
      <c r="AV560" s="99">
        <v>11.5</v>
      </c>
      <c r="AW560" s="98">
        <v>2.1</v>
      </c>
      <c r="AX560" s="98">
        <v>4.4000000000000004</v>
      </c>
      <c r="AY560" s="98">
        <v>0.7</v>
      </c>
      <c r="AZ560" s="98">
        <v>28.2</v>
      </c>
      <c r="BA560" s="98">
        <v>2.4</v>
      </c>
      <c r="BB560" s="98">
        <v>5.76</v>
      </c>
      <c r="BC560" s="98">
        <v>0.96</v>
      </c>
      <c r="BD560" s="98">
        <v>66</v>
      </c>
      <c r="BE560" s="98">
        <v>8.4</v>
      </c>
      <c r="BF560" s="98">
        <v>13.1</v>
      </c>
      <c r="BG560" s="98">
        <v>1.4</v>
      </c>
      <c r="BI560" s="93">
        <v>2.5</v>
      </c>
      <c r="BJ560" s="98">
        <v>2.1</v>
      </c>
      <c r="BK560" s="98">
        <v>553000</v>
      </c>
      <c r="BL560" s="98">
        <v>48000</v>
      </c>
      <c r="BM560" s="98">
        <v>6360</v>
      </c>
      <c r="BN560" s="98">
        <v>550</v>
      </c>
      <c r="BO560" s="99">
        <v>24.4</v>
      </c>
      <c r="BP560" s="98">
        <v>1.8</v>
      </c>
      <c r="BQ560" s="99">
        <v>73.099999999999994</v>
      </c>
      <c r="BR560" s="98">
        <v>5.2</v>
      </c>
      <c r="CD560" s="3"/>
      <c r="CE560" s="3"/>
      <c r="CF560" s="3"/>
    </row>
    <row r="561" spans="1:84" s="98" customFormat="1">
      <c r="A561" s="3" t="s">
        <v>669</v>
      </c>
      <c r="B561" s="92" t="s">
        <v>244</v>
      </c>
      <c r="C561" s="3"/>
      <c r="D561" s="93">
        <v>11.036</v>
      </c>
      <c r="E561" s="94">
        <v>7.3700000000000002E-2</v>
      </c>
      <c r="F561" s="94">
        <v>3.5999999999999999E-3</v>
      </c>
      <c r="G561" s="95">
        <v>1.8009999999999999</v>
      </c>
      <c r="H561" s="96">
        <v>0.1</v>
      </c>
      <c r="I561" s="97">
        <v>0.17780000000000001</v>
      </c>
      <c r="J561" s="95">
        <v>5.0000000000000001E-3</v>
      </c>
      <c r="K561" s="96">
        <v>0.20227999999999999</v>
      </c>
      <c r="M561" s="99">
        <v>1054.7</v>
      </c>
      <c r="N561" s="98">
        <v>28</v>
      </c>
      <c r="O561" s="99">
        <v>1018</v>
      </c>
      <c r="P561" s="98">
        <v>59</v>
      </c>
      <c r="Q561" s="98">
        <v>-7</v>
      </c>
      <c r="R561" s="97">
        <v>3.8E-3</v>
      </c>
      <c r="T561" s="98">
        <v>70</v>
      </c>
      <c r="U561" s="98">
        <v>140</v>
      </c>
      <c r="V561" s="98" t="s">
        <v>250</v>
      </c>
      <c r="W561" s="98" t="s">
        <v>250</v>
      </c>
      <c r="X561" s="98" t="s">
        <v>250</v>
      </c>
      <c r="Y561" s="98" t="s">
        <v>250</v>
      </c>
      <c r="Z561" s="98">
        <v>1.46</v>
      </c>
      <c r="AA561" s="98">
        <v>0.3</v>
      </c>
      <c r="AB561" s="98">
        <v>0.49</v>
      </c>
      <c r="AC561" s="98">
        <v>0.36</v>
      </c>
      <c r="AD561" s="98">
        <v>149</v>
      </c>
      <c r="AE561" s="98">
        <v>18</v>
      </c>
      <c r="AF561" s="95">
        <v>3.2000000000000001E-2</v>
      </c>
      <c r="AG561" s="98">
        <v>2.1999999999999999E-2</v>
      </c>
      <c r="AH561" s="96">
        <v>3.15</v>
      </c>
      <c r="AI561" s="96">
        <v>0.96</v>
      </c>
      <c r="AJ561" s="95">
        <v>8.9999999999999993E-3</v>
      </c>
      <c r="AK561" s="95">
        <v>1.4E-2</v>
      </c>
      <c r="AL561" s="96">
        <v>0.06</v>
      </c>
      <c r="AM561" s="96">
        <v>0.12</v>
      </c>
      <c r="AN561" s="96">
        <v>0.27</v>
      </c>
      <c r="AO561" s="96">
        <v>0.31</v>
      </c>
      <c r="AP561" s="96">
        <v>0.31</v>
      </c>
      <c r="AQ561" s="96">
        <v>0.19</v>
      </c>
      <c r="AR561" s="96">
        <v>1.9</v>
      </c>
      <c r="AS561" s="93">
        <v>1.1000000000000001</v>
      </c>
      <c r="AT561" s="96">
        <v>0.91</v>
      </c>
      <c r="AU561" s="96">
        <v>0.41</v>
      </c>
      <c r="AV561" s="99">
        <v>11.5</v>
      </c>
      <c r="AW561" s="98">
        <v>2.2999999999999998</v>
      </c>
      <c r="AX561" s="98">
        <v>4.42</v>
      </c>
      <c r="AY561" s="98">
        <v>0.64</v>
      </c>
      <c r="AZ561" s="98">
        <v>26.8</v>
      </c>
      <c r="BA561" s="98">
        <v>4</v>
      </c>
      <c r="BB561" s="98">
        <v>6.7</v>
      </c>
      <c r="BC561" s="98">
        <v>1.1000000000000001</v>
      </c>
      <c r="BD561" s="98">
        <v>71</v>
      </c>
      <c r="BE561" s="98">
        <v>12</v>
      </c>
      <c r="BF561" s="98">
        <v>13.7</v>
      </c>
      <c r="BG561" s="98">
        <v>1.7</v>
      </c>
      <c r="BI561" s="93">
        <v>4.0999999999999996</v>
      </c>
      <c r="BJ561" s="98">
        <v>2.1</v>
      </c>
      <c r="BK561" s="98">
        <v>558000</v>
      </c>
      <c r="BL561" s="98">
        <v>48000</v>
      </c>
      <c r="BM561" s="98">
        <v>6340</v>
      </c>
      <c r="BN561" s="98">
        <v>730</v>
      </c>
      <c r="BO561" s="99">
        <v>24.7</v>
      </c>
      <c r="BP561" s="98">
        <v>1.8</v>
      </c>
      <c r="BQ561" s="99">
        <v>73</v>
      </c>
      <c r="BR561" s="98">
        <v>5.3</v>
      </c>
      <c r="CD561" s="3"/>
      <c r="CE561" s="3"/>
      <c r="CF561" s="3"/>
    </row>
    <row r="562" spans="1:84" s="98" customFormat="1">
      <c r="A562" s="3" t="s">
        <v>670</v>
      </c>
      <c r="B562" s="92" t="s">
        <v>244</v>
      </c>
      <c r="C562" s="3"/>
      <c r="D562" s="93">
        <v>11.069000000000001</v>
      </c>
      <c r="E562" s="94">
        <v>7.4999999999999997E-2</v>
      </c>
      <c r="F562" s="94">
        <v>3.0999999999999999E-3</v>
      </c>
      <c r="G562" s="95">
        <v>1.823</v>
      </c>
      <c r="H562" s="96">
        <v>0.09</v>
      </c>
      <c r="I562" s="97">
        <v>0.17780000000000001</v>
      </c>
      <c r="J562" s="95">
        <v>4.8999999999999998E-3</v>
      </c>
      <c r="K562" s="96">
        <v>-6.6513000000000003E-2</v>
      </c>
      <c r="M562" s="99">
        <v>1054.9000000000001</v>
      </c>
      <c r="N562" s="98">
        <v>27</v>
      </c>
      <c r="O562" s="99">
        <v>1056</v>
      </c>
      <c r="P562" s="98">
        <v>52</v>
      </c>
      <c r="Q562" s="98">
        <v>-1.2</v>
      </c>
      <c r="R562" s="97">
        <v>4.1000000000000003E-3</v>
      </c>
      <c r="T562" s="98">
        <v>70</v>
      </c>
      <c r="U562" s="98">
        <v>120</v>
      </c>
      <c r="V562" s="98" t="s">
        <v>250</v>
      </c>
      <c r="W562" s="98" t="s">
        <v>250</v>
      </c>
      <c r="X562" s="98">
        <v>0.28999999999999998</v>
      </c>
      <c r="Y562" s="98">
        <v>0.3</v>
      </c>
      <c r="Z562" s="98">
        <v>1.63</v>
      </c>
      <c r="AA562" s="98">
        <v>0.56999999999999995</v>
      </c>
      <c r="AB562" s="98">
        <v>0.47</v>
      </c>
      <c r="AC562" s="98">
        <v>0.28000000000000003</v>
      </c>
      <c r="AD562" s="98">
        <v>143</v>
      </c>
      <c r="AE562" s="98">
        <v>20</v>
      </c>
      <c r="AF562" s="95">
        <v>4.9000000000000002E-2</v>
      </c>
      <c r="AG562" s="98">
        <v>3.2000000000000001E-2</v>
      </c>
      <c r="AH562" s="96">
        <v>2.5499999999999998</v>
      </c>
      <c r="AI562" s="96">
        <v>0.73</v>
      </c>
      <c r="AJ562" s="95" t="s">
        <v>250</v>
      </c>
      <c r="AK562" s="95" t="s">
        <v>250</v>
      </c>
      <c r="AL562" s="96">
        <v>0.39</v>
      </c>
      <c r="AM562" s="96">
        <v>0.32</v>
      </c>
      <c r="AN562" s="96">
        <v>0.66</v>
      </c>
      <c r="AO562" s="96">
        <v>0.44</v>
      </c>
      <c r="AP562" s="96">
        <v>0.14000000000000001</v>
      </c>
      <c r="AQ562" s="96">
        <v>0.12</v>
      </c>
      <c r="AR562" s="96">
        <v>2.7</v>
      </c>
      <c r="AS562" s="93">
        <v>1.6</v>
      </c>
      <c r="AT562" s="96">
        <v>1.0900000000000001</v>
      </c>
      <c r="AU562" s="96">
        <v>0.4</v>
      </c>
      <c r="AV562" s="99">
        <v>12.1</v>
      </c>
      <c r="AW562" s="98">
        <v>2.2999999999999998</v>
      </c>
      <c r="AX562" s="98">
        <v>4.72</v>
      </c>
      <c r="AY562" s="98">
        <v>0.64</v>
      </c>
      <c r="AZ562" s="98">
        <v>26.4</v>
      </c>
      <c r="BA562" s="98">
        <v>3.8</v>
      </c>
      <c r="BB562" s="98">
        <v>6</v>
      </c>
      <c r="BC562" s="98">
        <v>1.1000000000000001</v>
      </c>
      <c r="BD562" s="98">
        <v>63.8</v>
      </c>
      <c r="BE562" s="98">
        <v>8.1999999999999993</v>
      </c>
      <c r="BF562" s="98">
        <v>13.9</v>
      </c>
      <c r="BG562" s="98">
        <v>1.7</v>
      </c>
      <c r="BI562" s="93">
        <v>7</v>
      </c>
      <c r="BJ562" s="98">
        <v>3</v>
      </c>
      <c r="BK562" s="98">
        <v>585000</v>
      </c>
      <c r="BL562" s="98">
        <v>73000</v>
      </c>
      <c r="BM562" s="98">
        <v>6590</v>
      </c>
      <c r="BN562" s="98">
        <v>720</v>
      </c>
      <c r="BO562" s="99">
        <v>26.3</v>
      </c>
      <c r="BP562" s="98">
        <v>2.5</v>
      </c>
      <c r="BQ562" s="99">
        <v>76.8</v>
      </c>
      <c r="BR562" s="98">
        <v>7.2</v>
      </c>
      <c r="CD562" s="3"/>
      <c r="CE562" s="3"/>
      <c r="CF562" s="3"/>
    </row>
    <row r="563" spans="1:84" s="98" customFormat="1">
      <c r="A563" s="3" t="s">
        <v>671</v>
      </c>
      <c r="B563" s="92" t="s">
        <v>244</v>
      </c>
      <c r="C563" s="3"/>
      <c r="D563" s="93">
        <v>11.007</v>
      </c>
      <c r="E563" s="94">
        <v>7.46E-2</v>
      </c>
      <c r="F563" s="94">
        <v>3.5999999999999999E-3</v>
      </c>
      <c r="G563" s="95">
        <v>1.8029999999999999</v>
      </c>
      <c r="H563" s="96">
        <v>9.8000000000000004E-2</v>
      </c>
      <c r="I563" s="97">
        <v>0.17660000000000001</v>
      </c>
      <c r="J563" s="95">
        <v>4.8999999999999998E-3</v>
      </c>
      <c r="K563" s="96">
        <v>-4.2333000000000003E-2</v>
      </c>
      <c r="M563" s="99">
        <v>1048.3</v>
      </c>
      <c r="N563" s="98">
        <v>27</v>
      </c>
      <c r="O563" s="99">
        <v>1042</v>
      </c>
      <c r="P563" s="98">
        <v>54</v>
      </c>
      <c r="Q563" s="98">
        <v>-3.5</v>
      </c>
      <c r="R563" s="97">
        <v>3.0000000000000001E-3</v>
      </c>
      <c r="T563" s="98">
        <v>10</v>
      </c>
      <c r="U563" s="98">
        <v>160</v>
      </c>
      <c r="V563" s="98">
        <v>1.2</v>
      </c>
      <c r="W563" s="98">
        <v>1.9</v>
      </c>
      <c r="X563" s="98" t="s">
        <v>250</v>
      </c>
      <c r="Y563" s="98" t="s">
        <v>250</v>
      </c>
      <c r="Z563" s="98">
        <v>0.95</v>
      </c>
      <c r="AA563" s="98">
        <v>0.49</v>
      </c>
      <c r="AB563" s="98">
        <v>0.53</v>
      </c>
      <c r="AC563" s="98">
        <v>0.28000000000000003</v>
      </c>
      <c r="AD563" s="98">
        <v>128</v>
      </c>
      <c r="AE563" s="98">
        <v>13</v>
      </c>
      <c r="AF563" s="95">
        <v>2.8E-3</v>
      </c>
      <c r="AG563" s="98">
        <v>8.0999999999999996E-3</v>
      </c>
      <c r="AH563" s="96">
        <v>3</v>
      </c>
      <c r="AI563" s="96">
        <v>1</v>
      </c>
      <c r="AJ563" s="95">
        <v>2.1999999999999999E-2</v>
      </c>
      <c r="AK563" s="95">
        <v>2.1999999999999999E-2</v>
      </c>
      <c r="AL563" s="96">
        <v>7.0000000000000007E-2</v>
      </c>
      <c r="AM563" s="96">
        <v>0.15</v>
      </c>
      <c r="AN563" s="96">
        <v>0.39</v>
      </c>
      <c r="AO563" s="96">
        <v>0.33</v>
      </c>
      <c r="AP563" s="96">
        <v>0.18</v>
      </c>
      <c r="AQ563" s="96">
        <v>0.11</v>
      </c>
      <c r="AR563" s="96">
        <v>1.8</v>
      </c>
      <c r="AS563" s="93">
        <v>1.1000000000000001</v>
      </c>
      <c r="AT563" s="96">
        <v>0.89</v>
      </c>
      <c r="AU563" s="96">
        <v>0.31</v>
      </c>
      <c r="AV563" s="99">
        <v>10.7</v>
      </c>
      <c r="AW563" s="98">
        <v>2.6</v>
      </c>
      <c r="AX563" s="98">
        <v>5.22</v>
      </c>
      <c r="AY563" s="98">
        <v>0.89</v>
      </c>
      <c r="AZ563" s="98">
        <v>26.1</v>
      </c>
      <c r="BA563" s="98">
        <v>4.0999999999999996</v>
      </c>
      <c r="BB563" s="98">
        <v>5.55</v>
      </c>
      <c r="BC563" s="98">
        <v>0.77</v>
      </c>
      <c r="BD563" s="98">
        <v>62.9</v>
      </c>
      <c r="BE563" s="98">
        <v>9</v>
      </c>
      <c r="BF563" s="98">
        <v>12.7</v>
      </c>
      <c r="BG563" s="98">
        <v>1.6</v>
      </c>
      <c r="BI563" s="93">
        <v>4.0999999999999996</v>
      </c>
      <c r="BJ563" s="98">
        <v>2.7</v>
      </c>
      <c r="BK563" s="98">
        <v>540000</v>
      </c>
      <c r="BL563" s="98">
        <v>70000</v>
      </c>
      <c r="BM563" s="98">
        <v>5720</v>
      </c>
      <c r="BN563" s="98">
        <v>570</v>
      </c>
      <c r="BO563" s="99">
        <v>24.3</v>
      </c>
      <c r="BP563" s="98">
        <v>2</v>
      </c>
      <c r="BQ563" s="99">
        <v>71.2</v>
      </c>
      <c r="BR563" s="98">
        <v>5.9</v>
      </c>
      <c r="CD563" s="3"/>
      <c r="CE563" s="3"/>
      <c r="CF563" s="3"/>
    </row>
    <row r="564" spans="1:84" s="98" customFormat="1">
      <c r="A564" s="3" t="s">
        <v>672</v>
      </c>
      <c r="B564" s="92" t="s">
        <v>244</v>
      </c>
      <c r="C564" s="3"/>
      <c r="D564" s="93">
        <v>11.26</v>
      </c>
      <c r="E564" s="94">
        <v>7.4899999999999994E-2</v>
      </c>
      <c r="F564" s="94">
        <v>3.0000000000000001E-3</v>
      </c>
      <c r="G564" s="95">
        <v>1.8129999999999999</v>
      </c>
      <c r="H564" s="96">
        <v>8.8999999999999996E-2</v>
      </c>
      <c r="I564" s="97">
        <v>0.17680000000000001</v>
      </c>
      <c r="J564" s="95">
        <v>4.8999999999999998E-3</v>
      </c>
      <c r="K564" s="96">
        <v>-5.6330999999999999E-2</v>
      </c>
      <c r="M564" s="99">
        <v>1049.7</v>
      </c>
      <c r="N564" s="98">
        <v>27</v>
      </c>
      <c r="O564" s="99">
        <v>1073</v>
      </c>
      <c r="P564" s="98">
        <v>45</v>
      </c>
      <c r="Q564" s="98">
        <v>0.1</v>
      </c>
      <c r="R564" s="97">
        <v>3.2000000000000002E-3</v>
      </c>
      <c r="T564" s="98" t="s">
        <v>250</v>
      </c>
      <c r="U564" s="98" t="s">
        <v>250</v>
      </c>
      <c r="V564" s="98" t="s">
        <v>250</v>
      </c>
      <c r="W564" s="98" t="s">
        <v>250</v>
      </c>
      <c r="X564" s="98" t="s">
        <v>250</v>
      </c>
      <c r="Y564" s="98" t="s">
        <v>250</v>
      </c>
      <c r="Z564" s="98">
        <v>1.1599999999999999</v>
      </c>
      <c r="AA564" s="98">
        <v>0.57999999999999996</v>
      </c>
      <c r="AB564" s="98">
        <v>0.9</v>
      </c>
      <c r="AC564" s="98">
        <v>0.45</v>
      </c>
      <c r="AD564" s="98">
        <v>151</v>
      </c>
      <c r="AE564" s="98">
        <v>26</v>
      </c>
      <c r="AF564" s="95">
        <v>5.2999999999999999E-2</v>
      </c>
      <c r="AG564" s="98">
        <v>5.8999999999999997E-2</v>
      </c>
      <c r="AH564" s="96">
        <v>2.62</v>
      </c>
      <c r="AI564" s="96">
        <v>0.78</v>
      </c>
      <c r="AJ564" s="95" t="s">
        <v>250</v>
      </c>
      <c r="AK564" s="95" t="s">
        <v>250</v>
      </c>
      <c r="AL564" s="96" t="s">
        <v>250</v>
      </c>
      <c r="AM564" s="96" t="s">
        <v>250</v>
      </c>
      <c r="AN564" s="96">
        <v>0.89</v>
      </c>
      <c r="AO564" s="96">
        <v>0.57999999999999996</v>
      </c>
      <c r="AP564" s="96">
        <v>0.23</v>
      </c>
      <c r="AQ564" s="96">
        <v>0.13</v>
      </c>
      <c r="AR564" s="96">
        <v>2.12</v>
      </c>
      <c r="AS564" s="93">
        <v>0.99</v>
      </c>
      <c r="AT564" s="96">
        <v>0.46</v>
      </c>
      <c r="AU564" s="96">
        <v>0.18</v>
      </c>
      <c r="AV564" s="99">
        <v>10</v>
      </c>
      <c r="AW564" s="98">
        <v>1.9</v>
      </c>
      <c r="AX564" s="98">
        <v>4.26</v>
      </c>
      <c r="AY564" s="98">
        <v>0.9</v>
      </c>
      <c r="AZ564" s="98">
        <v>28.2</v>
      </c>
      <c r="BA564" s="98">
        <v>6.6</v>
      </c>
      <c r="BB564" s="98">
        <v>7.1</v>
      </c>
      <c r="BC564" s="98">
        <v>1.4</v>
      </c>
      <c r="BD564" s="98">
        <v>59.4</v>
      </c>
      <c r="BE564" s="98">
        <v>8</v>
      </c>
      <c r="BF564" s="98">
        <v>12.6</v>
      </c>
      <c r="BG564" s="98">
        <v>1.4</v>
      </c>
      <c r="BI564" s="93">
        <v>2.7</v>
      </c>
      <c r="BJ564" s="98">
        <v>2.6</v>
      </c>
      <c r="BK564" s="98">
        <v>525000</v>
      </c>
      <c r="BL564" s="98">
        <v>52000</v>
      </c>
      <c r="BM564" s="98">
        <v>5960</v>
      </c>
      <c r="BN564" s="98">
        <v>770</v>
      </c>
      <c r="BO564" s="99">
        <v>24.8</v>
      </c>
      <c r="BP564" s="98">
        <v>2.8</v>
      </c>
      <c r="BQ564" s="99">
        <v>73.7</v>
      </c>
      <c r="BR564" s="98">
        <v>8.5</v>
      </c>
      <c r="CD564" s="3"/>
      <c r="CE564" s="3"/>
      <c r="CF564" s="3"/>
    </row>
    <row r="565" spans="1:84" s="98" customFormat="1">
      <c r="A565" s="3" t="s">
        <v>673</v>
      </c>
      <c r="B565" s="92" t="s">
        <v>244</v>
      </c>
      <c r="C565" s="3"/>
      <c r="D565" s="93">
        <v>11.04</v>
      </c>
      <c r="E565" s="94">
        <v>7.6600000000000001E-2</v>
      </c>
      <c r="F565" s="94">
        <v>3.5999999999999999E-3</v>
      </c>
      <c r="G565" s="95">
        <v>1.8360000000000001</v>
      </c>
      <c r="H565" s="96">
        <v>0.1</v>
      </c>
      <c r="I565" s="97">
        <v>0.17460000000000001</v>
      </c>
      <c r="J565" s="95">
        <v>4.7999999999999996E-3</v>
      </c>
      <c r="K565" s="96">
        <v>0.32224000000000003</v>
      </c>
      <c r="M565" s="99">
        <v>1037.2</v>
      </c>
      <c r="N565" s="98">
        <v>26</v>
      </c>
      <c r="O565" s="99">
        <v>1095</v>
      </c>
      <c r="P565" s="98">
        <v>50</v>
      </c>
      <c r="Q565" s="98">
        <v>3.2</v>
      </c>
      <c r="R565" s="97">
        <v>5.8999999999999999E-3</v>
      </c>
      <c r="T565" s="98" t="s">
        <v>250</v>
      </c>
      <c r="U565" s="98" t="s">
        <v>250</v>
      </c>
      <c r="V565" s="98" t="s">
        <v>250</v>
      </c>
      <c r="W565" s="98" t="s">
        <v>250</v>
      </c>
      <c r="X565" s="98">
        <v>0.14000000000000001</v>
      </c>
      <c r="Y565" s="98">
        <v>0.16</v>
      </c>
      <c r="Z565" s="98">
        <v>1.55</v>
      </c>
      <c r="AA565" s="98">
        <v>0.59</v>
      </c>
      <c r="AB565" s="98">
        <v>0.53</v>
      </c>
      <c r="AC565" s="98">
        <v>0.33</v>
      </c>
      <c r="AD565" s="98">
        <v>144</v>
      </c>
      <c r="AE565" s="98">
        <v>22</v>
      </c>
      <c r="AF565" s="95">
        <v>0.104</v>
      </c>
      <c r="AG565" s="98">
        <v>6.0999999999999999E-2</v>
      </c>
      <c r="AH565" s="96">
        <v>3.29</v>
      </c>
      <c r="AI565" s="96">
        <v>0.91</v>
      </c>
      <c r="AJ565" s="95">
        <v>2.2000000000000001E-3</v>
      </c>
      <c r="AK565" s="95">
        <v>6.7999999999999996E-3</v>
      </c>
      <c r="AL565" s="96">
        <v>0.28000000000000003</v>
      </c>
      <c r="AM565" s="96">
        <v>0.26</v>
      </c>
      <c r="AN565" s="96">
        <v>0.32</v>
      </c>
      <c r="AO565" s="96">
        <v>0.31</v>
      </c>
      <c r="AP565" s="96">
        <v>0.19</v>
      </c>
      <c r="AQ565" s="96">
        <v>0.11</v>
      </c>
      <c r="AR565" s="96">
        <v>3</v>
      </c>
      <c r="AS565" s="93">
        <v>1.3</v>
      </c>
      <c r="AT565" s="96">
        <v>0.86</v>
      </c>
      <c r="AU565" s="96">
        <v>0.24</v>
      </c>
      <c r="AV565" s="99">
        <v>10.1</v>
      </c>
      <c r="AW565" s="98">
        <v>2.2999999999999998</v>
      </c>
      <c r="AX565" s="98">
        <v>4.47</v>
      </c>
      <c r="AY565" s="98">
        <v>0.68</v>
      </c>
      <c r="AZ565" s="98">
        <v>25.5</v>
      </c>
      <c r="BA565" s="98">
        <v>4.7</v>
      </c>
      <c r="BB565" s="98">
        <v>6.03</v>
      </c>
      <c r="BC565" s="98">
        <v>0.94</v>
      </c>
      <c r="BD565" s="98">
        <v>63.3</v>
      </c>
      <c r="BE565" s="98">
        <v>6.4</v>
      </c>
      <c r="BF565" s="98">
        <v>14.7</v>
      </c>
      <c r="BG565" s="98">
        <v>1.8</v>
      </c>
      <c r="BI565" s="93">
        <v>4.8</v>
      </c>
      <c r="BJ565" s="98">
        <v>2.9</v>
      </c>
      <c r="BK565" s="98">
        <v>556000</v>
      </c>
      <c r="BL565" s="98">
        <v>65000</v>
      </c>
      <c r="BM565" s="98">
        <v>6040</v>
      </c>
      <c r="BN565" s="98">
        <v>820</v>
      </c>
      <c r="BO565" s="99">
        <v>24.8</v>
      </c>
      <c r="BP565" s="98">
        <v>2.2000000000000002</v>
      </c>
      <c r="BQ565" s="99">
        <v>74</v>
      </c>
      <c r="BR565" s="98">
        <v>6.7</v>
      </c>
      <c r="CD565" s="3"/>
      <c r="CE565" s="3"/>
      <c r="CF565" s="3"/>
    </row>
    <row r="566" spans="1:84" s="98" customFormat="1">
      <c r="A566" s="3" t="s">
        <v>674</v>
      </c>
      <c r="B566" s="92" t="s">
        <v>244</v>
      </c>
      <c r="C566" s="3"/>
      <c r="D566" s="93">
        <v>11.01</v>
      </c>
      <c r="E566" s="94">
        <v>7.4499999999999997E-2</v>
      </c>
      <c r="F566" s="94">
        <v>2.5999999999999999E-3</v>
      </c>
      <c r="G566" s="95">
        <v>1.8</v>
      </c>
      <c r="H566" s="96">
        <v>8.4000000000000005E-2</v>
      </c>
      <c r="I566" s="97">
        <v>0.17580000000000001</v>
      </c>
      <c r="J566" s="95">
        <v>4.7999999999999996E-3</v>
      </c>
      <c r="K566" s="96">
        <v>0.25402999999999998</v>
      </c>
      <c r="M566" s="99">
        <v>1043.9000000000001</v>
      </c>
      <c r="N566" s="98">
        <v>26</v>
      </c>
      <c r="O566" s="99">
        <v>1052</v>
      </c>
      <c r="P566" s="98">
        <v>47</v>
      </c>
      <c r="Q566" s="98">
        <v>-1.4</v>
      </c>
      <c r="R566" s="97">
        <v>3.3999999999999998E-3</v>
      </c>
      <c r="T566" s="98">
        <v>40</v>
      </c>
      <c r="U566" s="98">
        <v>120</v>
      </c>
      <c r="V566" s="98">
        <v>0</v>
      </c>
      <c r="W566" s="98">
        <v>1.8</v>
      </c>
      <c r="X566" s="98" t="s">
        <v>250</v>
      </c>
      <c r="Y566" s="98" t="s">
        <v>250</v>
      </c>
      <c r="Z566" s="98">
        <v>1.6</v>
      </c>
      <c r="AA566" s="98">
        <v>0.82</v>
      </c>
      <c r="AB566" s="98">
        <v>0.43</v>
      </c>
      <c r="AC566" s="98">
        <v>0.24</v>
      </c>
      <c r="AD566" s="98">
        <v>157</v>
      </c>
      <c r="AE566" s="98">
        <v>24</v>
      </c>
      <c r="AF566" s="95">
        <v>0.10199999999999999</v>
      </c>
      <c r="AG566" s="98">
        <v>6.7000000000000004E-2</v>
      </c>
      <c r="AH566" s="96">
        <v>3.28</v>
      </c>
      <c r="AI566" s="96">
        <v>0.75</v>
      </c>
      <c r="AJ566" s="95">
        <v>1.6E-2</v>
      </c>
      <c r="AK566" s="95">
        <v>0.02</v>
      </c>
      <c r="AL566" s="96" t="s">
        <v>250</v>
      </c>
      <c r="AM566" s="96" t="s">
        <v>250</v>
      </c>
      <c r="AN566" s="96">
        <v>0.38</v>
      </c>
      <c r="AO566" s="96">
        <v>0.38</v>
      </c>
      <c r="AP566" s="96">
        <v>1.7999999999999999E-2</v>
      </c>
      <c r="AQ566" s="96">
        <v>3.7999999999999999E-2</v>
      </c>
      <c r="AR566" s="96">
        <v>1</v>
      </c>
      <c r="AS566" s="93">
        <v>0.83</v>
      </c>
      <c r="AT566" s="96">
        <v>0.86</v>
      </c>
      <c r="AU566" s="96">
        <v>0.28000000000000003</v>
      </c>
      <c r="AV566" s="99">
        <v>12.8</v>
      </c>
      <c r="AW566" s="98">
        <v>2.5</v>
      </c>
      <c r="AX566" s="98">
        <v>5.63</v>
      </c>
      <c r="AY566" s="98">
        <v>0.85</v>
      </c>
      <c r="AZ566" s="98">
        <v>27.5</v>
      </c>
      <c r="BA566" s="98">
        <v>2.5</v>
      </c>
      <c r="BB566" s="98">
        <v>6.3</v>
      </c>
      <c r="BC566" s="98">
        <v>1</v>
      </c>
      <c r="BD566" s="98">
        <v>74</v>
      </c>
      <c r="BE566" s="98">
        <v>13</v>
      </c>
      <c r="BF566" s="98">
        <v>16.5</v>
      </c>
      <c r="BG566" s="98">
        <v>2.7</v>
      </c>
      <c r="BI566" s="93">
        <v>2.4</v>
      </c>
      <c r="BJ566" s="98">
        <v>2.1</v>
      </c>
      <c r="BK566" s="98">
        <v>599000</v>
      </c>
      <c r="BL566" s="98">
        <v>86000</v>
      </c>
      <c r="BM566" s="98">
        <v>6460</v>
      </c>
      <c r="BN566" s="98">
        <v>830</v>
      </c>
      <c r="BO566" s="99">
        <v>27.4</v>
      </c>
      <c r="BP566" s="98">
        <v>3</v>
      </c>
      <c r="BQ566" s="99">
        <v>81.599999999999994</v>
      </c>
      <c r="BR566" s="98">
        <v>9</v>
      </c>
      <c r="CD566" s="3"/>
      <c r="CE566" s="3"/>
      <c r="CF566" s="3"/>
    </row>
    <row r="567" spans="1:84" s="98" customFormat="1">
      <c r="A567" s="3" t="s">
        <v>675</v>
      </c>
      <c r="B567" s="92" t="s">
        <v>244</v>
      </c>
      <c r="C567" s="3"/>
      <c r="D567" s="93">
        <v>11.037000000000001</v>
      </c>
      <c r="E567" s="94">
        <v>7.6999999999999999E-2</v>
      </c>
      <c r="F567" s="94">
        <v>2.8999999999999998E-3</v>
      </c>
      <c r="G567" s="95">
        <v>1.865</v>
      </c>
      <c r="H567" s="96">
        <v>0.09</v>
      </c>
      <c r="I567" s="97">
        <v>0.17610000000000001</v>
      </c>
      <c r="J567" s="95">
        <v>4.8999999999999998E-3</v>
      </c>
      <c r="K567" s="96">
        <v>0.24045</v>
      </c>
      <c r="M567" s="99">
        <v>1045.8</v>
      </c>
      <c r="N567" s="98">
        <v>27</v>
      </c>
      <c r="O567" s="99">
        <v>1108</v>
      </c>
      <c r="P567" s="98">
        <v>44</v>
      </c>
      <c r="Q567" s="98">
        <v>4</v>
      </c>
      <c r="R567" s="97">
        <v>5.1999999999999998E-3</v>
      </c>
      <c r="T567" s="98">
        <v>20</v>
      </c>
      <c r="U567" s="98">
        <v>120</v>
      </c>
      <c r="V567" s="98" t="s">
        <v>250</v>
      </c>
      <c r="W567" s="98" t="s">
        <v>250</v>
      </c>
      <c r="X567" s="98" t="s">
        <v>250</v>
      </c>
      <c r="Y567" s="98" t="s">
        <v>250</v>
      </c>
      <c r="Z567" s="98">
        <v>1.89</v>
      </c>
      <c r="AA567" s="98">
        <v>0.67</v>
      </c>
      <c r="AB567" s="98">
        <v>0.3</v>
      </c>
      <c r="AC567" s="98">
        <v>0.25</v>
      </c>
      <c r="AD567" s="98">
        <v>145</v>
      </c>
      <c r="AE567" s="98">
        <v>24</v>
      </c>
      <c r="AF567" s="95">
        <v>3.5999999999999997E-2</v>
      </c>
      <c r="AG567" s="98">
        <v>2.3E-2</v>
      </c>
      <c r="AH567" s="96">
        <v>2.92</v>
      </c>
      <c r="AI567" s="96">
        <v>0.73</v>
      </c>
      <c r="AJ567" s="95">
        <v>1.4E-2</v>
      </c>
      <c r="AK567" s="95">
        <v>1.7000000000000001E-2</v>
      </c>
      <c r="AL567" s="96">
        <v>0.33</v>
      </c>
      <c r="AM567" s="96">
        <v>0.37</v>
      </c>
      <c r="AN567" s="96">
        <v>0.52</v>
      </c>
      <c r="AO567" s="96">
        <v>0.35</v>
      </c>
      <c r="AP567" s="96">
        <v>0.17</v>
      </c>
      <c r="AQ567" s="96">
        <v>0.15</v>
      </c>
      <c r="AR567" s="96">
        <v>2.08</v>
      </c>
      <c r="AS567" s="93">
        <v>0.79</v>
      </c>
      <c r="AT567" s="96">
        <v>0.81</v>
      </c>
      <c r="AU567" s="96">
        <v>0.28999999999999998</v>
      </c>
      <c r="AV567" s="99">
        <v>11.5</v>
      </c>
      <c r="AW567" s="98">
        <v>2.7</v>
      </c>
      <c r="AX567" s="98">
        <v>4.9000000000000004</v>
      </c>
      <c r="AY567" s="98">
        <v>0.99</v>
      </c>
      <c r="AZ567" s="98">
        <v>24.3</v>
      </c>
      <c r="BA567" s="98">
        <v>2.9</v>
      </c>
      <c r="BB567" s="98">
        <v>6.4</v>
      </c>
      <c r="BC567" s="98">
        <v>1.2</v>
      </c>
      <c r="BD567" s="98">
        <v>70</v>
      </c>
      <c r="BE567" s="98">
        <v>12</v>
      </c>
      <c r="BF567" s="98">
        <v>14.8</v>
      </c>
      <c r="BG567" s="98">
        <v>2</v>
      </c>
      <c r="BI567" s="93">
        <v>5.4</v>
      </c>
      <c r="BJ567" s="98">
        <v>3</v>
      </c>
      <c r="BK567" s="98">
        <v>578000</v>
      </c>
      <c r="BL567" s="98">
        <v>81000</v>
      </c>
      <c r="BM567" s="98">
        <v>6160</v>
      </c>
      <c r="BN567" s="98">
        <v>980</v>
      </c>
      <c r="BO567" s="99">
        <v>26.6</v>
      </c>
      <c r="BP567" s="98">
        <v>3.2</v>
      </c>
      <c r="BQ567" s="99">
        <v>79.400000000000006</v>
      </c>
      <c r="BR567" s="98">
        <v>9.9</v>
      </c>
      <c r="CD567" s="3"/>
      <c r="CE567" s="3"/>
      <c r="CF567" s="3"/>
    </row>
    <row r="568" spans="1:84" s="98" customFormat="1">
      <c r="A568" s="3" t="s">
        <v>676</v>
      </c>
      <c r="B568" s="92" t="s">
        <v>244</v>
      </c>
      <c r="C568" s="3"/>
      <c r="D568" s="93">
        <v>11.071</v>
      </c>
      <c r="E568" s="94">
        <v>7.5200000000000003E-2</v>
      </c>
      <c r="F568" s="94">
        <v>3.0999999999999999E-3</v>
      </c>
      <c r="G568" s="95">
        <v>1.7989999999999999</v>
      </c>
      <c r="H568" s="96">
        <v>9.0999999999999998E-2</v>
      </c>
      <c r="I568" s="97">
        <v>0.17391999999999999</v>
      </c>
      <c r="J568" s="95">
        <v>4.7000000000000002E-3</v>
      </c>
      <c r="K568" s="96">
        <v>1.0652000000000001E-3</v>
      </c>
      <c r="M568" s="99">
        <v>1033.7</v>
      </c>
      <c r="N568" s="98">
        <v>26</v>
      </c>
      <c r="O568" s="99">
        <v>1065</v>
      </c>
      <c r="P568" s="98">
        <v>48</v>
      </c>
      <c r="Q568" s="98">
        <v>2</v>
      </c>
      <c r="R568" s="97">
        <v>4.4000000000000003E-3</v>
      </c>
      <c r="T568" s="98">
        <v>26</v>
      </c>
      <c r="U568" s="98">
        <v>98</v>
      </c>
      <c r="V568" s="98">
        <v>1.2</v>
      </c>
      <c r="W568" s="98">
        <v>1.6</v>
      </c>
      <c r="X568" s="98" t="s">
        <v>250</v>
      </c>
      <c r="Y568" s="98" t="s">
        <v>250</v>
      </c>
      <c r="Z568" s="98">
        <v>0.85</v>
      </c>
      <c r="AA568" s="98">
        <v>0.46</v>
      </c>
      <c r="AB568" s="98">
        <v>0.46</v>
      </c>
      <c r="AC568" s="98">
        <v>0.23</v>
      </c>
      <c r="AD568" s="98">
        <v>134</v>
      </c>
      <c r="AE568" s="98">
        <v>18</v>
      </c>
      <c r="AF568" s="95">
        <v>3.7999999999999999E-2</v>
      </c>
      <c r="AG568" s="98">
        <v>2.5999999999999999E-2</v>
      </c>
      <c r="AH568" s="96">
        <v>2.73</v>
      </c>
      <c r="AI568" s="96">
        <v>0.48</v>
      </c>
      <c r="AJ568" s="95">
        <v>2.7000000000000001E-3</v>
      </c>
      <c r="AK568" s="95">
        <v>7.7999999999999996E-3</v>
      </c>
      <c r="AL568" s="96">
        <v>0.48</v>
      </c>
      <c r="AM568" s="96">
        <v>0.37</v>
      </c>
      <c r="AN568" s="96">
        <v>0.28999999999999998</v>
      </c>
      <c r="AO568" s="96">
        <v>0.28000000000000003</v>
      </c>
      <c r="AP568" s="96">
        <v>0.14499999999999999</v>
      </c>
      <c r="AQ568" s="96">
        <v>9.2999999999999999E-2</v>
      </c>
      <c r="AR568" s="96">
        <v>2.1</v>
      </c>
      <c r="AS568" s="93">
        <v>1.2</v>
      </c>
      <c r="AT568" s="96">
        <v>0.8</v>
      </c>
      <c r="AU568" s="96">
        <v>0.3</v>
      </c>
      <c r="AV568" s="99">
        <v>12.7</v>
      </c>
      <c r="AW568" s="98">
        <v>2.2999999999999998</v>
      </c>
      <c r="AX568" s="98">
        <v>4.26</v>
      </c>
      <c r="AY568" s="98">
        <v>0.78</v>
      </c>
      <c r="AZ568" s="98">
        <v>22.5</v>
      </c>
      <c r="BA568" s="98">
        <v>2.6</v>
      </c>
      <c r="BB568" s="98">
        <v>6.6</v>
      </c>
      <c r="BC568" s="98">
        <v>1.2</v>
      </c>
      <c r="BD568" s="98">
        <v>64</v>
      </c>
      <c r="BE568" s="98">
        <v>11</v>
      </c>
      <c r="BF568" s="98">
        <v>13.3</v>
      </c>
      <c r="BG568" s="98">
        <v>2</v>
      </c>
      <c r="BI568" s="93">
        <v>6.1</v>
      </c>
      <c r="BJ568" s="98">
        <v>3.8</v>
      </c>
      <c r="BK568" s="98">
        <v>543000</v>
      </c>
      <c r="BL568" s="98">
        <v>63000</v>
      </c>
      <c r="BM568" s="98">
        <v>6190</v>
      </c>
      <c r="BN568" s="98">
        <v>960</v>
      </c>
      <c r="BO568" s="99">
        <v>25.1</v>
      </c>
      <c r="BP568" s="98">
        <v>1.9</v>
      </c>
      <c r="BQ568" s="99">
        <v>75</v>
      </c>
      <c r="BR568" s="98">
        <v>5.7</v>
      </c>
      <c r="CD568" s="3"/>
      <c r="CE568" s="3"/>
      <c r="CF568" s="3"/>
    </row>
    <row r="569" spans="1:84" s="98" customFormat="1">
      <c r="A569" s="3" t="s">
        <v>677</v>
      </c>
      <c r="B569" s="92" t="s">
        <v>244</v>
      </c>
      <c r="C569" s="3"/>
      <c r="D569" s="93">
        <v>11.007</v>
      </c>
      <c r="E569" s="94">
        <v>8.0100000000000005E-2</v>
      </c>
      <c r="F569" s="94">
        <v>4.7000000000000002E-3</v>
      </c>
      <c r="G569" s="95">
        <v>1.93</v>
      </c>
      <c r="H569" s="96">
        <v>0.13</v>
      </c>
      <c r="I569" s="97">
        <v>0.17449999999999999</v>
      </c>
      <c r="J569" s="95">
        <v>4.7999999999999996E-3</v>
      </c>
      <c r="K569" s="96">
        <v>0.27195999999999998</v>
      </c>
      <c r="M569" s="99">
        <v>1037</v>
      </c>
      <c r="N569" s="98">
        <v>26</v>
      </c>
      <c r="O569" s="99">
        <v>1177</v>
      </c>
      <c r="P569" s="98">
        <v>68</v>
      </c>
      <c r="Q569" s="98">
        <v>10.6</v>
      </c>
      <c r="R569" s="97">
        <v>9.2999999999999992E-3</v>
      </c>
      <c r="T569" s="98" t="s">
        <v>250</v>
      </c>
      <c r="U569" s="98" t="s">
        <v>250</v>
      </c>
      <c r="V569" s="98" t="s">
        <v>250</v>
      </c>
      <c r="W569" s="98" t="s">
        <v>250</v>
      </c>
      <c r="X569" s="98">
        <v>0.17</v>
      </c>
      <c r="Y569" s="98">
        <v>0.18</v>
      </c>
      <c r="Z569" s="98">
        <v>0.89</v>
      </c>
      <c r="AA569" s="98">
        <v>0.48</v>
      </c>
      <c r="AB569" s="98">
        <v>0.31</v>
      </c>
      <c r="AC569" s="98">
        <v>0.2</v>
      </c>
      <c r="AD569" s="98">
        <v>146</v>
      </c>
      <c r="AE569" s="98">
        <v>14</v>
      </c>
      <c r="AF569" s="95">
        <v>0.05</v>
      </c>
      <c r="AG569" s="98">
        <v>4.8000000000000001E-2</v>
      </c>
      <c r="AH569" s="96">
        <v>2.19</v>
      </c>
      <c r="AI569" s="96">
        <v>0.51</v>
      </c>
      <c r="AJ569" s="95">
        <v>2.1999999999999999E-2</v>
      </c>
      <c r="AK569" s="95">
        <v>0.02</v>
      </c>
      <c r="AL569" s="96">
        <v>0.67</v>
      </c>
      <c r="AM569" s="96">
        <v>0.52</v>
      </c>
      <c r="AN569" s="96">
        <v>0.28000000000000003</v>
      </c>
      <c r="AO569" s="96">
        <v>0.33</v>
      </c>
      <c r="AP569" s="96">
        <v>0.33</v>
      </c>
      <c r="AQ569" s="96">
        <v>0.18</v>
      </c>
      <c r="AR569" s="96">
        <v>1.9</v>
      </c>
      <c r="AS569" s="93">
        <v>1.3</v>
      </c>
      <c r="AT569" s="96">
        <v>0.77</v>
      </c>
      <c r="AU569" s="96">
        <v>0.3</v>
      </c>
      <c r="AV569" s="99">
        <v>12.3</v>
      </c>
      <c r="AW569" s="98">
        <v>3.1</v>
      </c>
      <c r="AX569" s="98">
        <v>4.05</v>
      </c>
      <c r="AY569" s="98">
        <v>0.78</v>
      </c>
      <c r="AZ569" s="98">
        <v>29</v>
      </c>
      <c r="BA569" s="98">
        <v>4.0999999999999996</v>
      </c>
      <c r="BB569" s="98">
        <v>6.51</v>
      </c>
      <c r="BC569" s="98">
        <v>0.76</v>
      </c>
      <c r="BD569" s="98">
        <v>73.2</v>
      </c>
      <c r="BE569" s="98">
        <v>7.8</v>
      </c>
      <c r="BF569" s="98">
        <v>14.9</v>
      </c>
      <c r="BG569" s="98">
        <v>2.2000000000000002</v>
      </c>
      <c r="BI569" s="93">
        <v>4.7</v>
      </c>
      <c r="BJ569" s="98">
        <v>4.0999999999999996</v>
      </c>
      <c r="BK569" s="98">
        <v>601000</v>
      </c>
      <c r="BL569" s="98">
        <v>59000</v>
      </c>
      <c r="BM569" s="98">
        <v>6390</v>
      </c>
      <c r="BN569" s="98">
        <v>600</v>
      </c>
      <c r="BO569" s="99">
        <v>26.2</v>
      </c>
      <c r="BP569" s="98">
        <v>2.2999999999999998</v>
      </c>
      <c r="BQ569" s="99">
        <v>79.7</v>
      </c>
      <c r="BR569" s="98">
        <v>6.6</v>
      </c>
      <c r="CD569" s="3"/>
      <c r="CE569" s="3"/>
      <c r="CF569" s="3"/>
    </row>
    <row r="570" spans="1:84" s="98" customFormat="1">
      <c r="A570" s="3" t="s">
        <v>678</v>
      </c>
      <c r="B570" s="92" t="s">
        <v>244</v>
      </c>
      <c r="C570" s="3"/>
      <c r="D570" s="93">
        <v>11.202</v>
      </c>
      <c r="E570" s="94">
        <v>7.4300000000000005E-2</v>
      </c>
      <c r="F570" s="94">
        <v>3.2000000000000002E-3</v>
      </c>
      <c r="G570" s="95">
        <v>1.7889999999999999</v>
      </c>
      <c r="H570" s="96">
        <v>9.1999999999999998E-2</v>
      </c>
      <c r="I570" s="97">
        <v>0.1749</v>
      </c>
      <c r="J570" s="95">
        <v>4.7999999999999996E-3</v>
      </c>
      <c r="K570" s="96">
        <v>0.14932999999999999</v>
      </c>
      <c r="M570" s="99">
        <v>1039.2</v>
      </c>
      <c r="N570" s="98">
        <v>26</v>
      </c>
      <c r="O570" s="99">
        <v>1046</v>
      </c>
      <c r="P570" s="98">
        <v>58</v>
      </c>
      <c r="Q570" s="98">
        <v>-2.5</v>
      </c>
      <c r="R570" s="97">
        <v>4.7999999999999996E-3</v>
      </c>
      <c r="T570" s="98">
        <v>70</v>
      </c>
      <c r="U570" s="98">
        <v>120</v>
      </c>
      <c r="V570" s="98">
        <v>0.4</v>
      </c>
      <c r="W570" s="98">
        <v>1.1000000000000001</v>
      </c>
      <c r="X570" s="98">
        <v>0.18</v>
      </c>
      <c r="Y570" s="98">
        <v>0.17</v>
      </c>
      <c r="Z570" s="98">
        <v>1.06</v>
      </c>
      <c r="AA570" s="98">
        <v>0.34</v>
      </c>
      <c r="AB570" s="98">
        <v>0.22</v>
      </c>
      <c r="AC570" s="98">
        <v>0.17</v>
      </c>
      <c r="AD570" s="98">
        <v>135</v>
      </c>
      <c r="AE570" s="98">
        <v>10</v>
      </c>
      <c r="AF570" s="95">
        <v>0.13</v>
      </c>
      <c r="AG570" s="98">
        <v>0.11</v>
      </c>
      <c r="AH570" s="96">
        <v>1.94</v>
      </c>
      <c r="AI570" s="96">
        <v>0.46</v>
      </c>
      <c r="AJ570" s="95" t="s">
        <v>250</v>
      </c>
      <c r="AK570" s="95" t="s">
        <v>250</v>
      </c>
      <c r="AL570" s="96">
        <v>0.21</v>
      </c>
      <c r="AM570" s="96">
        <v>0.25</v>
      </c>
      <c r="AN570" s="96">
        <v>0.47</v>
      </c>
      <c r="AO570" s="96">
        <v>0.42</v>
      </c>
      <c r="AP570" s="96">
        <v>0.13</v>
      </c>
      <c r="AQ570" s="96">
        <v>0.11</v>
      </c>
      <c r="AR570" s="96">
        <v>2.7</v>
      </c>
      <c r="AS570" s="93">
        <v>1.3</v>
      </c>
      <c r="AT570" s="96">
        <v>0.77</v>
      </c>
      <c r="AU570" s="96">
        <v>0.26</v>
      </c>
      <c r="AV570" s="99">
        <v>9.3000000000000007</v>
      </c>
      <c r="AW570" s="98">
        <v>2</v>
      </c>
      <c r="AX570" s="98">
        <v>3.86</v>
      </c>
      <c r="AY570" s="98">
        <v>0.59</v>
      </c>
      <c r="AZ570" s="98">
        <v>26</v>
      </c>
      <c r="BA570" s="98">
        <v>3.5</v>
      </c>
      <c r="BB570" s="98">
        <v>6.3</v>
      </c>
      <c r="BC570" s="98">
        <v>1</v>
      </c>
      <c r="BD570" s="98">
        <v>59</v>
      </c>
      <c r="BE570" s="98">
        <v>6.5</v>
      </c>
      <c r="BF570" s="98">
        <v>12.6</v>
      </c>
      <c r="BG570" s="98">
        <v>1.3</v>
      </c>
      <c r="BI570" s="93">
        <v>3.3</v>
      </c>
      <c r="BJ570" s="98">
        <v>3</v>
      </c>
      <c r="BK570" s="98">
        <v>500000</v>
      </c>
      <c r="BL570" s="98">
        <v>41000</v>
      </c>
      <c r="BM570" s="98">
        <v>5480</v>
      </c>
      <c r="BN570" s="98">
        <v>400</v>
      </c>
      <c r="BO570" s="99">
        <v>22</v>
      </c>
      <c r="BP570" s="98">
        <v>1.6</v>
      </c>
      <c r="BQ570" s="99">
        <v>66.7</v>
      </c>
      <c r="BR570" s="98">
        <v>5</v>
      </c>
      <c r="CD570" s="3"/>
      <c r="CE570" s="3"/>
      <c r="CF570" s="3"/>
    </row>
    <row r="571" spans="1:84" s="98" customFormat="1">
      <c r="A571" s="3" t="s">
        <v>679</v>
      </c>
      <c r="B571" s="92" t="s">
        <v>244</v>
      </c>
      <c r="C571" s="3"/>
      <c r="D571" s="93">
        <v>11.24</v>
      </c>
      <c r="E571" s="94">
        <v>7.4700000000000003E-2</v>
      </c>
      <c r="F571" s="94">
        <v>3.3E-3</v>
      </c>
      <c r="G571" s="95">
        <v>1.804</v>
      </c>
      <c r="H571" s="96">
        <v>9.2999999999999999E-2</v>
      </c>
      <c r="I571" s="97">
        <v>0.17580000000000001</v>
      </c>
      <c r="J571" s="95">
        <v>4.7999999999999996E-3</v>
      </c>
      <c r="K571" s="96">
        <v>-0.18448999999999999</v>
      </c>
      <c r="M571" s="99">
        <v>1044</v>
      </c>
      <c r="N571" s="98">
        <v>26</v>
      </c>
      <c r="O571" s="99">
        <v>1047</v>
      </c>
      <c r="P571" s="98">
        <v>60</v>
      </c>
      <c r="Q571" s="98">
        <v>-1.5</v>
      </c>
      <c r="R571" s="97">
        <v>4.3E-3</v>
      </c>
      <c r="T571" s="98" t="s">
        <v>250</v>
      </c>
      <c r="U571" s="98" t="s">
        <v>250</v>
      </c>
      <c r="V571" s="98" t="s">
        <v>250</v>
      </c>
      <c r="W571" s="98" t="s">
        <v>250</v>
      </c>
      <c r="X571" s="98">
        <v>0.2</v>
      </c>
      <c r="Y571" s="98">
        <v>0.19</v>
      </c>
      <c r="Z571" s="98">
        <v>1.02</v>
      </c>
      <c r="AA571" s="98">
        <v>0.38</v>
      </c>
      <c r="AB571" s="98">
        <v>0.5</v>
      </c>
      <c r="AC571" s="98">
        <v>0.28999999999999998</v>
      </c>
      <c r="AD571" s="98">
        <v>138</v>
      </c>
      <c r="AE571" s="98">
        <v>20</v>
      </c>
      <c r="AF571" s="95">
        <v>2.5000000000000001E-2</v>
      </c>
      <c r="AG571" s="98">
        <v>2.5999999999999999E-2</v>
      </c>
      <c r="AH571" s="96">
        <v>2.81</v>
      </c>
      <c r="AI571" s="96">
        <v>0.75</v>
      </c>
      <c r="AJ571" s="95">
        <v>1.2999999999999999E-2</v>
      </c>
      <c r="AK571" s="95">
        <v>1.6E-2</v>
      </c>
      <c r="AL571" s="96">
        <v>0.19</v>
      </c>
      <c r="AM571" s="96">
        <v>0.21</v>
      </c>
      <c r="AN571" s="96">
        <v>0.39</v>
      </c>
      <c r="AO571" s="96">
        <v>0.33</v>
      </c>
      <c r="AP571" s="96">
        <v>0.17</v>
      </c>
      <c r="AQ571" s="96">
        <v>0.11</v>
      </c>
      <c r="AR571" s="96">
        <v>1.7</v>
      </c>
      <c r="AS571" s="93">
        <v>1</v>
      </c>
      <c r="AT571" s="96">
        <v>0.75</v>
      </c>
      <c r="AU571" s="96">
        <v>0.26</v>
      </c>
      <c r="AV571" s="99">
        <v>10.9</v>
      </c>
      <c r="AW571" s="98">
        <v>1.8</v>
      </c>
      <c r="AX571" s="98">
        <v>4.37</v>
      </c>
      <c r="AY571" s="98">
        <v>0.79</v>
      </c>
      <c r="AZ571" s="98">
        <v>23.7</v>
      </c>
      <c r="BA571" s="98">
        <v>2.8</v>
      </c>
      <c r="BB571" s="98">
        <v>5.64</v>
      </c>
      <c r="BC571" s="98">
        <v>0.6</v>
      </c>
      <c r="BD571" s="98">
        <v>58.2</v>
      </c>
      <c r="BE571" s="98">
        <v>6.3</v>
      </c>
      <c r="BF571" s="98">
        <v>12.2</v>
      </c>
      <c r="BG571" s="98">
        <v>1.2</v>
      </c>
      <c r="BI571" s="93">
        <v>3</v>
      </c>
      <c r="BJ571" s="98">
        <v>2.9</v>
      </c>
      <c r="BK571" s="98">
        <v>484000</v>
      </c>
      <c r="BL571" s="98">
        <v>54000</v>
      </c>
      <c r="BM571" s="98">
        <v>5490</v>
      </c>
      <c r="BN571" s="98">
        <v>600</v>
      </c>
      <c r="BO571" s="99">
        <v>23.3</v>
      </c>
      <c r="BP571" s="98">
        <v>1.8</v>
      </c>
      <c r="BQ571" s="99">
        <v>69.400000000000006</v>
      </c>
      <c r="BR571" s="98">
        <v>5.4</v>
      </c>
      <c r="CD571" s="3"/>
      <c r="CE571" s="3"/>
      <c r="CF571" s="3"/>
    </row>
    <row r="572" spans="1:84" s="98" customFormat="1">
      <c r="A572" s="3" t="s">
        <v>680</v>
      </c>
      <c r="B572" s="92" t="s">
        <v>244</v>
      </c>
      <c r="C572" s="3"/>
      <c r="D572" s="93">
        <v>11.032</v>
      </c>
      <c r="E572" s="94">
        <v>7.4200000000000002E-2</v>
      </c>
      <c r="F572" s="94">
        <v>3.0999999999999999E-3</v>
      </c>
      <c r="G572" s="95">
        <v>1.794</v>
      </c>
      <c r="H572" s="96">
        <v>8.8999999999999996E-2</v>
      </c>
      <c r="I572" s="97">
        <v>0.17599999999999999</v>
      </c>
      <c r="J572" s="95">
        <v>4.7999999999999996E-3</v>
      </c>
      <c r="K572" s="96">
        <v>-0.20616999999999999</v>
      </c>
      <c r="M572" s="99">
        <v>1045.2</v>
      </c>
      <c r="N572" s="98">
        <v>26</v>
      </c>
      <c r="O572" s="99">
        <v>1039</v>
      </c>
      <c r="P572" s="98">
        <v>44</v>
      </c>
      <c r="Q572" s="98">
        <v>-1.2</v>
      </c>
      <c r="R572" s="97">
        <v>1.6999999999999999E-3</v>
      </c>
      <c r="T572" s="98" t="s">
        <v>250</v>
      </c>
      <c r="U572" s="98" t="s">
        <v>250</v>
      </c>
      <c r="V572" s="98" t="s">
        <v>250</v>
      </c>
      <c r="W572" s="98" t="s">
        <v>250</v>
      </c>
      <c r="X572" s="98" t="s">
        <v>250</v>
      </c>
      <c r="Y572" s="98" t="s">
        <v>250</v>
      </c>
      <c r="Z572" s="98">
        <v>0.88</v>
      </c>
      <c r="AA572" s="98">
        <v>0.5</v>
      </c>
      <c r="AB572" s="98">
        <v>0.27</v>
      </c>
      <c r="AC572" s="98">
        <v>0.18</v>
      </c>
      <c r="AD572" s="98">
        <v>123</v>
      </c>
      <c r="AE572" s="98">
        <v>15</v>
      </c>
      <c r="AF572" s="95">
        <v>6.2E-2</v>
      </c>
      <c r="AG572" s="98">
        <v>4.1000000000000002E-2</v>
      </c>
      <c r="AH572" s="96">
        <v>2.4700000000000002</v>
      </c>
      <c r="AI572" s="96">
        <v>0.81</v>
      </c>
      <c r="AJ572" s="95" t="s">
        <v>250</v>
      </c>
      <c r="AK572" s="95" t="s">
        <v>250</v>
      </c>
      <c r="AL572" s="96">
        <v>0.33</v>
      </c>
      <c r="AM572" s="96">
        <v>0.32</v>
      </c>
      <c r="AN572" s="96">
        <v>0.5</v>
      </c>
      <c r="AO572" s="96">
        <v>0.43</v>
      </c>
      <c r="AP572" s="96">
        <v>0.14000000000000001</v>
      </c>
      <c r="AQ572" s="96">
        <v>0.13</v>
      </c>
      <c r="AR572" s="96">
        <v>1.39</v>
      </c>
      <c r="AS572" s="93">
        <v>0.95</v>
      </c>
      <c r="AT572" s="96">
        <v>0.86</v>
      </c>
      <c r="AU572" s="96">
        <v>0.33</v>
      </c>
      <c r="AV572" s="99">
        <v>10.3</v>
      </c>
      <c r="AW572" s="98">
        <v>2.2000000000000002</v>
      </c>
      <c r="AX572" s="98">
        <v>3.96</v>
      </c>
      <c r="AY572" s="98">
        <v>0.59</v>
      </c>
      <c r="AZ572" s="98">
        <v>25.5</v>
      </c>
      <c r="BA572" s="98">
        <v>3.7</v>
      </c>
      <c r="BB572" s="98">
        <v>5.7</v>
      </c>
      <c r="BC572" s="98">
        <v>1.2</v>
      </c>
      <c r="BD572" s="98">
        <v>61.4</v>
      </c>
      <c r="BE572" s="98">
        <v>6.9</v>
      </c>
      <c r="BF572" s="98">
        <v>12.43</v>
      </c>
      <c r="BG572" s="98">
        <v>0.93</v>
      </c>
      <c r="BI572" s="93">
        <v>2.5</v>
      </c>
      <c r="BJ572" s="98">
        <v>2.1</v>
      </c>
      <c r="BK572" s="98">
        <v>488000</v>
      </c>
      <c r="BL572" s="98">
        <v>53000</v>
      </c>
      <c r="BM572" s="98">
        <v>5600</v>
      </c>
      <c r="BN572" s="98">
        <v>560</v>
      </c>
      <c r="BO572" s="99">
        <v>23.2</v>
      </c>
      <c r="BP572" s="98">
        <v>1.9</v>
      </c>
      <c r="BQ572" s="99">
        <v>69.099999999999994</v>
      </c>
      <c r="BR572" s="98">
        <v>5.5</v>
      </c>
      <c r="CD572" s="3"/>
      <c r="CE572" s="3"/>
      <c r="CF572" s="3"/>
    </row>
    <row r="573" spans="1:84" s="98" customFormat="1">
      <c r="A573" s="3" t="s">
        <v>681</v>
      </c>
      <c r="B573" s="92" t="s">
        <v>244</v>
      </c>
      <c r="C573" s="3"/>
      <c r="D573" s="93">
        <v>11.103999999999999</v>
      </c>
      <c r="E573" s="94">
        <v>7.5200000000000003E-2</v>
      </c>
      <c r="F573" s="94">
        <v>3.2000000000000002E-3</v>
      </c>
      <c r="G573" s="95">
        <v>1.8220000000000001</v>
      </c>
      <c r="H573" s="96">
        <v>9.1999999999999998E-2</v>
      </c>
      <c r="I573" s="97">
        <v>0.17632</v>
      </c>
      <c r="J573" s="95">
        <v>4.7999999999999996E-3</v>
      </c>
      <c r="K573" s="96">
        <v>-0.10488</v>
      </c>
      <c r="M573" s="99">
        <v>1046.8</v>
      </c>
      <c r="N573" s="98">
        <v>26</v>
      </c>
      <c r="O573" s="99">
        <v>1070</v>
      </c>
      <c r="P573" s="98">
        <v>57</v>
      </c>
      <c r="Q573" s="98">
        <v>-1.1000000000000001</v>
      </c>
      <c r="R573" s="97">
        <v>3.0999999999999999E-3</v>
      </c>
      <c r="T573" s="98" t="s">
        <v>250</v>
      </c>
      <c r="U573" s="98" t="s">
        <v>250</v>
      </c>
      <c r="V573" s="98" t="s">
        <v>250</v>
      </c>
      <c r="W573" s="98" t="s">
        <v>250</v>
      </c>
      <c r="X573" s="98">
        <v>0.13</v>
      </c>
      <c r="Y573" s="98">
        <v>0.15</v>
      </c>
      <c r="Z573" s="98">
        <v>1.68</v>
      </c>
      <c r="AA573" s="98">
        <v>0.68</v>
      </c>
      <c r="AB573" s="98">
        <v>0.63</v>
      </c>
      <c r="AC573" s="98">
        <v>0.26</v>
      </c>
      <c r="AD573" s="98">
        <v>121</v>
      </c>
      <c r="AE573" s="98">
        <v>16</v>
      </c>
      <c r="AF573" s="95">
        <v>5.6000000000000001E-2</v>
      </c>
      <c r="AG573" s="98">
        <v>4.7E-2</v>
      </c>
      <c r="AH573" s="96">
        <v>2.25</v>
      </c>
      <c r="AI573" s="96">
        <v>0.7</v>
      </c>
      <c r="AJ573" s="95">
        <v>2.0999999999999999E-3</v>
      </c>
      <c r="AK573" s="95">
        <v>6.8999999999999999E-3</v>
      </c>
      <c r="AL573" s="96">
        <v>0.17</v>
      </c>
      <c r="AM573" s="96">
        <v>0.18</v>
      </c>
      <c r="AN573" s="96" t="s">
        <v>250</v>
      </c>
      <c r="AO573" s="96" t="s">
        <v>250</v>
      </c>
      <c r="AP573" s="96">
        <v>9.9000000000000005E-2</v>
      </c>
      <c r="AQ573" s="96">
        <v>8.1000000000000003E-2</v>
      </c>
      <c r="AR573" s="96">
        <v>1.5</v>
      </c>
      <c r="AS573" s="93">
        <v>1.1000000000000001</v>
      </c>
      <c r="AT573" s="96">
        <v>0.74</v>
      </c>
      <c r="AU573" s="96">
        <v>0.34</v>
      </c>
      <c r="AV573" s="99">
        <v>10.1</v>
      </c>
      <c r="AW573" s="98">
        <v>2.4</v>
      </c>
      <c r="AX573" s="98">
        <v>4.2300000000000004</v>
      </c>
      <c r="AY573" s="98">
        <v>0.64</v>
      </c>
      <c r="AZ573" s="98">
        <v>22</v>
      </c>
      <c r="BA573" s="98">
        <v>2.9</v>
      </c>
      <c r="BB573" s="98">
        <v>6.2</v>
      </c>
      <c r="BC573" s="98">
        <v>1.2</v>
      </c>
      <c r="BD573" s="98">
        <v>66.099999999999994</v>
      </c>
      <c r="BE573" s="98">
        <v>9.6</v>
      </c>
      <c r="BF573" s="98">
        <v>11.4</v>
      </c>
      <c r="BG573" s="98">
        <v>1.2</v>
      </c>
      <c r="BI573" s="93">
        <v>3.3</v>
      </c>
      <c r="BJ573" s="98">
        <v>2.8</v>
      </c>
      <c r="BK573" s="98">
        <v>473000</v>
      </c>
      <c r="BL573" s="98">
        <v>51000</v>
      </c>
      <c r="BM573" s="98">
        <v>5520</v>
      </c>
      <c r="BN573" s="98">
        <v>550</v>
      </c>
      <c r="BO573" s="99">
        <v>22.4</v>
      </c>
      <c r="BP573" s="98">
        <v>1.9</v>
      </c>
      <c r="BQ573" s="99">
        <v>67.2</v>
      </c>
      <c r="BR573" s="98">
        <v>5.6</v>
      </c>
      <c r="CD573" s="3"/>
      <c r="CE573" s="3"/>
      <c r="CF573" s="3"/>
    </row>
    <row r="574" spans="1:84" s="98" customFormat="1">
      <c r="A574" s="3" t="s">
        <v>682</v>
      </c>
      <c r="B574" s="92" t="s">
        <v>244</v>
      </c>
      <c r="C574" s="3"/>
      <c r="D574" s="93">
        <v>11.019</v>
      </c>
      <c r="E574" s="94">
        <v>7.5800000000000006E-2</v>
      </c>
      <c r="F574" s="94">
        <v>3.2000000000000002E-3</v>
      </c>
      <c r="G574" s="95">
        <v>1.8280000000000001</v>
      </c>
      <c r="H574" s="96">
        <v>9.2999999999999999E-2</v>
      </c>
      <c r="I574" s="97">
        <v>0.17541000000000001</v>
      </c>
      <c r="J574" s="95">
        <v>4.7999999999999996E-3</v>
      </c>
      <c r="K574" s="96">
        <v>2.3585999999999999E-2</v>
      </c>
      <c r="M574" s="99">
        <v>1041.9000000000001</v>
      </c>
      <c r="N574" s="98">
        <v>26</v>
      </c>
      <c r="O574" s="99">
        <v>1074</v>
      </c>
      <c r="P574" s="98">
        <v>50</v>
      </c>
      <c r="Q574" s="98">
        <v>0.5</v>
      </c>
      <c r="R574" s="97">
        <v>3.8999999999999998E-3</v>
      </c>
      <c r="T574" s="98">
        <v>120</v>
      </c>
      <c r="U574" s="98">
        <v>120</v>
      </c>
      <c r="V574" s="98">
        <v>0.4</v>
      </c>
      <c r="W574" s="98">
        <v>1.3</v>
      </c>
      <c r="X574" s="98">
        <v>0.35</v>
      </c>
      <c r="Y574" s="98">
        <v>0.31</v>
      </c>
      <c r="Z574" s="98">
        <v>1.33</v>
      </c>
      <c r="AA574" s="98">
        <v>0.61</v>
      </c>
      <c r="AB574" s="98">
        <v>0.69</v>
      </c>
      <c r="AC574" s="98">
        <v>0.34</v>
      </c>
      <c r="AD574" s="98">
        <v>145</v>
      </c>
      <c r="AE574" s="98">
        <v>17</v>
      </c>
      <c r="AF574" s="95">
        <v>4.2000000000000003E-2</v>
      </c>
      <c r="AG574" s="98">
        <v>3.4000000000000002E-2</v>
      </c>
      <c r="AH574" s="96">
        <v>2.82</v>
      </c>
      <c r="AI574" s="96">
        <v>0.73</v>
      </c>
      <c r="AJ574" s="95">
        <v>4.0000000000000001E-3</v>
      </c>
      <c r="AK574" s="95">
        <v>1.0999999999999999E-2</v>
      </c>
      <c r="AL574" s="96" t="s">
        <v>250</v>
      </c>
      <c r="AM574" s="96" t="s">
        <v>250</v>
      </c>
      <c r="AN574" s="96">
        <v>0.6</v>
      </c>
      <c r="AO574" s="96">
        <v>0.49</v>
      </c>
      <c r="AP574" s="96">
        <v>0.21</v>
      </c>
      <c r="AQ574" s="96">
        <v>0.15</v>
      </c>
      <c r="AR574" s="96">
        <v>2.4</v>
      </c>
      <c r="AS574" s="93">
        <v>1.3</v>
      </c>
      <c r="AT574" s="96">
        <v>0.73</v>
      </c>
      <c r="AU574" s="96">
        <v>0.24</v>
      </c>
      <c r="AV574" s="99">
        <v>12</v>
      </c>
      <c r="AW574" s="98">
        <v>2.6</v>
      </c>
      <c r="AX574" s="98">
        <v>4.8099999999999996</v>
      </c>
      <c r="AY574" s="98">
        <v>0.57999999999999996</v>
      </c>
      <c r="AZ574" s="98">
        <v>26.3</v>
      </c>
      <c r="BA574" s="98">
        <v>4.2</v>
      </c>
      <c r="BB574" s="98">
        <v>7</v>
      </c>
      <c r="BC574" s="98">
        <v>1</v>
      </c>
      <c r="BD574" s="98">
        <v>75.099999999999994</v>
      </c>
      <c r="BE574" s="98">
        <v>9.1</v>
      </c>
      <c r="BF574" s="98">
        <v>14.9</v>
      </c>
      <c r="BG574" s="98">
        <v>1.9</v>
      </c>
      <c r="BI574" s="93">
        <v>3.6</v>
      </c>
      <c r="BJ574" s="98">
        <v>3.7</v>
      </c>
      <c r="BK574" s="98">
        <v>603000</v>
      </c>
      <c r="BL574" s="98">
        <v>75000</v>
      </c>
      <c r="BM574" s="98">
        <v>6200</v>
      </c>
      <c r="BN574" s="98">
        <v>600</v>
      </c>
      <c r="BO574" s="99">
        <v>27.3</v>
      </c>
      <c r="BP574" s="98">
        <v>3.2</v>
      </c>
      <c r="BQ574" s="99">
        <v>81.2</v>
      </c>
      <c r="BR574" s="98">
        <v>9.4</v>
      </c>
      <c r="CD574" s="3"/>
      <c r="CE574" s="3"/>
      <c r="CF574" s="3"/>
    </row>
    <row r="575" spans="1:84" s="98" customFormat="1">
      <c r="A575" s="3" t="s">
        <v>683</v>
      </c>
      <c r="B575" s="92" t="s">
        <v>244</v>
      </c>
      <c r="C575" s="3"/>
      <c r="D575" s="93">
        <v>11.013</v>
      </c>
      <c r="E575" s="94">
        <v>7.46E-2</v>
      </c>
      <c r="F575" s="94">
        <v>3.0000000000000001E-3</v>
      </c>
      <c r="G575" s="95">
        <v>1.8109999999999999</v>
      </c>
      <c r="H575" s="96">
        <v>9.0999999999999998E-2</v>
      </c>
      <c r="I575" s="97">
        <v>0.17680000000000001</v>
      </c>
      <c r="J575" s="95">
        <v>4.8999999999999998E-3</v>
      </c>
      <c r="K575" s="96">
        <v>0.11663999999999999</v>
      </c>
      <c r="M575" s="99">
        <v>1049.2</v>
      </c>
      <c r="N575" s="98">
        <v>27</v>
      </c>
      <c r="O575" s="99">
        <v>1048</v>
      </c>
      <c r="P575" s="98">
        <v>50</v>
      </c>
      <c r="Q575" s="98">
        <v>-2.8</v>
      </c>
      <c r="R575" s="97">
        <v>3.7000000000000002E-3</v>
      </c>
      <c r="T575" s="98">
        <v>70</v>
      </c>
      <c r="U575" s="98">
        <v>120</v>
      </c>
      <c r="V575" s="98" t="s">
        <v>250</v>
      </c>
      <c r="W575" s="98" t="s">
        <v>250</v>
      </c>
      <c r="X575" s="98">
        <v>4.3999999999999997E-2</v>
      </c>
      <c r="Y575" s="98">
        <v>9.0999999999999998E-2</v>
      </c>
      <c r="Z575" s="98">
        <v>1.38</v>
      </c>
      <c r="AA575" s="98">
        <v>0.52</v>
      </c>
      <c r="AB575" s="98">
        <v>0.46</v>
      </c>
      <c r="AC575" s="98">
        <v>0.25</v>
      </c>
      <c r="AD575" s="98">
        <v>133</v>
      </c>
      <c r="AE575" s="98">
        <v>13</v>
      </c>
      <c r="AF575" s="95">
        <v>8.1000000000000003E-2</v>
      </c>
      <c r="AG575" s="98">
        <v>4.2999999999999997E-2</v>
      </c>
      <c r="AH575" s="96">
        <v>2.4700000000000002</v>
      </c>
      <c r="AI575" s="96">
        <v>0.6</v>
      </c>
      <c r="AJ575" s="95">
        <v>1.2E-2</v>
      </c>
      <c r="AK575" s="95">
        <v>1.4999999999999999E-2</v>
      </c>
      <c r="AL575" s="96" t="s">
        <v>250</v>
      </c>
      <c r="AM575" s="96" t="s">
        <v>250</v>
      </c>
      <c r="AN575" s="96">
        <v>0.66</v>
      </c>
      <c r="AO575" s="96">
        <v>0.48</v>
      </c>
      <c r="AP575" s="96">
        <v>0.17</v>
      </c>
      <c r="AQ575" s="96">
        <v>0.12</v>
      </c>
      <c r="AR575" s="96">
        <v>2.2999999999999998</v>
      </c>
      <c r="AS575" s="93">
        <v>1</v>
      </c>
      <c r="AT575" s="96">
        <v>0.94</v>
      </c>
      <c r="AU575" s="96">
        <v>0.35</v>
      </c>
      <c r="AV575" s="99">
        <v>10.6</v>
      </c>
      <c r="AW575" s="98">
        <v>1.6</v>
      </c>
      <c r="AX575" s="98">
        <v>3.86</v>
      </c>
      <c r="AY575" s="98">
        <v>0.66</v>
      </c>
      <c r="AZ575" s="98">
        <v>23.8</v>
      </c>
      <c r="BA575" s="98">
        <v>2.9</v>
      </c>
      <c r="BB575" s="98">
        <v>5.81</v>
      </c>
      <c r="BC575" s="98">
        <v>0.85</v>
      </c>
      <c r="BD575" s="98">
        <v>58.1</v>
      </c>
      <c r="BE575" s="98">
        <v>6.5</v>
      </c>
      <c r="BF575" s="98">
        <v>12.5</v>
      </c>
      <c r="BG575" s="98">
        <v>1.4</v>
      </c>
      <c r="BI575" s="93">
        <v>4.9000000000000004</v>
      </c>
      <c r="BJ575" s="98">
        <v>2.4</v>
      </c>
      <c r="BK575" s="98">
        <v>505000</v>
      </c>
      <c r="BL575" s="98">
        <v>55000</v>
      </c>
      <c r="BM575" s="98">
        <v>5710</v>
      </c>
      <c r="BN575" s="98">
        <v>630</v>
      </c>
      <c r="BO575" s="99">
        <v>24.1</v>
      </c>
      <c r="BP575" s="98">
        <v>1.8</v>
      </c>
      <c r="BQ575" s="99">
        <v>71.8</v>
      </c>
      <c r="BR575" s="98">
        <v>5.5</v>
      </c>
      <c r="CD575" s="3"/>
      <c r="CE575" s="3"/>
      <c r="CF575" s="3"/>
    </row>
    <row r="576" spans="1:84" s="98" customFormat="1">
      <c r="A576" s="3" t="s">
        <v>684</v>
      </c>
      <c r="B576" s="92" t="s">
        <v>244</v>
      </c>
      <c r="C576" s="3"/>
      <c r="D576" s="93">
        <v>11.295</v>
      </c>
      <c r="E576" s="94">
        <v>6.9000000000000006E-2</v>
      </c>
      <c r="F576" s="94">
        <v>6.9000000000000006E-2</v>
      </c>
      <c r="G576" s="95">
        <v>1.6</v>
      </c>
      <c r="H576" s="96">
        <v>1.6</v>
      </c>
      <c r="I576" s="97">
        <v>0.17</v>
      </c>
      <c r="J576" s="95">
        <v>0.17</v>
      </c>
      <c r="K576" s="96">
        <v>1</v>
      </c>
      <c r="M576" s="99">
        <v>1000</v>
      </c>
      <c r="N576" s="135">
        <v>1000</v>
      </c>
      <c r="O576" s="99" t="s">
        <v>480</v>
      </c>
      <c r="P576" s="98" t="s">
        <v>481</v>
      </c>
      <c r="Q576" s="98" t="s">
        <v>480</v>
      </c>
      <c r="R576" s="97">
        <v>-5.3E-3</v>
      </c>
      <c r="T576" s="98">
        <v>140</v>
      </c>
      <c r="U576" s="98">
        <v>130</v>
      </c>
      <c r="V576" s="98">
        <v>0.2</v>
      </c>
      <c r="W576" s="98">
        <v>1.3</v>
      </c>
      <c r="X576" s="98">
        <v>0.05</v>
      </c>
      <c r="Y576" s="98">
        <v>0.11</v>
      </c>
      <c r="Z576" s="98">
        <v>1.5</v>
      </c>
      <c r="AA576" s="98">
        <v>0.55000000000000004</v>
      </c>
      <c r="AB576" s="98">
        <v>0.1</v>
      </c>
      <c r="AC576" s="98">
        <v>0.12</v>
      </c>
      <c r="AD576" s="98">
        <v>130</v>
      </c>
      <c r="AE576" s="98">
        <v>17</v>
      </c>
      <c r="AF576" s="95">
        <v>4.2000000000000003E-2</v>
      </c>
      <c r="AG576" s="98">
        <v>2.4E-2</v>
      </c>
      <c r="AH576" s="96">
        <v>2.75</v>
      </c>
      <c r="AI576" s="96">
        <v>0.74</v>
      </c>
      <c r="AJ576" s="95" t="s">
        <v>250</v>
      </c>
      <c r="AK576" s="95" t="s">
        <v>250</v>
      </c>
      <c r="AL576" s="96">
        <v>7.0000000000000007E-2</v>
      </c>
      <c r="AM576" s="96">
        <v>0.13</v>
      </c>
      <c r="AN576" s="96">
        <v>0.52</v>
      </c>
      <c r="AO576" s="96">
        <v>0.48</v>
      </c>
      <c r="AP576" s="96">
        <v>0.18</v>
      </c>
      <c r="AQ576" s="96">
        <v>0.11</v>
      </c>
      <c r="AR576" s="96">
        <v>2.6</v>
      </c>
      <c r="AS576" s="93">
        <v>1.5</v>
      </c>
      <c r="AT576" s="96">
        <v>0.79</v>
      </c>
      <c r="AU576" s="96">
        <v>0.21</v>
      </c>
      <c r="AV576" s="99">
        <v>10.5</v>
      </c>
      <c r="AW576" s="98">
        <v>1.8</v>
      </c>
      <c r="AX576" s="98">
        <v>4.59</v>
      </c>
      <c r="AY576" s="98">
        <v>0.71</v>
      </c>
      <c r="AZ576" s="98">
        <v>26.7</v>
      </c>
      <c r="BA576" s="98">
        <v>3.7</v>
      </c>
      <c r="BB576" s="98">
        <v>5.89</v>
      </c>
      <c r="BC576" s="98">
        <v>0.66</v>
      </c>
      <c r="BD576" s="98">
        <v>60.5</v>
      </c>
      <c r="BE576" s="98">
        <v>7.2</v>
      </c>
      <c r="BF576" s="98">
        <v>12.8</v>
      </c>
      <c r="BG576" s="98">
        <v>1.4</v>
      </c>
      <c r="BI576" s="93">
        <v>3.6</v>
      </c>
      <c r="BJ576" s="98">
        <v>3.2</v>
      </c>
      <c r="BK576" s="98">
        <v>497000</v>
      </c>
      <c r="BL576" s="98">
        <v>47000</v>
      </c>
      <c r="BM576" s="98">
        <v>5970</v>
      </c>
      <c r="BN576" s="98">
        <v>540</v>
      </c>
      <c r="BO576" s="99">
        <v>22.7</v>
      </c>
      <c r="BP576" s="98">
        <v>1.8</v>
      </c>
      <c r="BQ576" s="99">
        <v>68.599999999999994</v>
      </c>
      <c r="BR576" s="98">
        <v>5.6</v>
      </c>
      <c r="CD576" s="3"/>
      <c r="CE576" s="3"/>
      <c r="CF576" s="3"/>
    </row>
    <row r="577" spans="1:84" s="98" customFormat="1">
      <c r="A577" s="3" t="s">
        <v>666</v>
      </c>
      <c r="B577" s="3" t="s">
        <v>268</v>
      </c>
      <c r="C577" s="3"/>
      <c r="D577" s="93">
        <v>7.0129999999999999</v>
      </c>
      <c r="E577" s="94">
        <v>7.6200000000000004E-2</v>
      </c>
      <c r="F577" s="94">
        <v>2.2000000000000001E-3</v>
      </c>
      <c r="G577" s="95">
        <v>1.825</v>
      </c>
      <c r="H577" s="96">
        <v>6.9000000000000006E-2</v>
      </c>
      <c r="I577" s="97">
        <v>0.1739</v>
      </c>
      <c r="J577" s="95">
        <v>4.0000000000000001E-3</v>
      </c>
      <c r="K577" s="96">
        <v>0.17177000000000001</v>
      </c>
      <c r="M577" s="99">
        <v>1033.5</v>
      </c>
      <c r="N577" s="98">
        <v>22</v>
      </c>
      <c r="O577" s="99">
        <v>1100</v>
      </c>
      <c r="P577" s="98">
        <v>21</v>
      </c>
      <c r="Q577" s="98">
        <v>5.9</v>
      </c>
      <c r="R577" s="97">
        <v>2.8E-3</v>
      </c>
      <c r="T577" s="98">
        <v>200</v>
      </c>
      <c r="U577" s="98">
        <v>260</v>
      </c>
      <c r="V577" s="98">
        <v>0.36</v>
      </c>
      <c r="W577" s="98">
        <v>0.93</v>
      </c>
      <c r="X577" s="98">
        <v>7.1999999999999995E-2</v>
      </c>
      <c r="Y577" s="98">
        <v>9.9000000000000005E-2</v>
      </c>
      <c r="Z577" s="98">
        <v>2.2400000000000002</v>
      </c>
      <c r="AA577" s="98">
        <v>0.45</v>
      </c>
      <c r="AB577" s="98">
        <v>0.83</v>
      </c>
      <c r="AC577" s="98">
        <v>0.25</v>
      </c>
      <c r="AD577" s="98">
        <v>114</v>
      </c>
      <c r="AE577" s="98">
        <v>17</v>
      </c>
      <c r="AF577" s="95" t="s">
        <v>250</v>
      </c>
      <c r="AG577" s="98" t="s">
        <v>250</v>
      </c>
      <c r="AH577" s="96">
        <v>2.75</v>
      </c>
      <c r="AI577" s="96">
        <v>0.79</v>
      </c>
      <c r="AJ577" s="95">
        <v>3.3E-3</v>
      </c>
      <c r="AK577" s="95">
        <v>7.4999999999999997E-3</v>
      </c>
      <c r="AL577" s="96" t="s">
        <v>250</v>
      </c>
      <c r="AM577" s="96" t="s">
        <v>250</v>
      </c>
      <c r="AN577" s="96">
        <v>0.14000000000000001</v>
      </c>
      <c r="AO577" s="96">
        <v>0.2</v>
      </c>
      <c r="AP577" s="96">
        <v>0.14599999999999999</v>
      </c>
      <c r="AQ577" s="96">
        <v>8.6999999999999994E-2</v>
      </c>
      <c r="AR577" s="96">
        <v>1.84</v>
      </c>
      <c r="AS577" s="93">
        <v>0.66</v>
      </c>
      <c r="AT577" s="96">
        <v>0.74</v>
      </c>
      <c r="AU577" s="96">
        <v>0.23</v>
      </c>
      <c r="AV577" s="99">
        <v>7.1</v>
      </c>
      <c r="AW577" s="98">
        <v>2</v>
      </c>
      <c r="AX577" s="98">
        <v>2.7</v>
      </c>
      <c r="AY577" s="98">
        <v>0.6</v>
      </c>
      <c r="AZ577" s="98">
        <v>21.8</v>
      </c>
      <c r="BA577" s="98">
        <v>4.7</v>
      </c>
      <c r="BB577" s="98">
        <v>3.99</v>
      </c>
      <c r="BC577" s="98">
        <v>0.82</v>
      </c>
      <c r="BD577" s="98">
        <v>52</v>
      </c>
      <c r="BE577" s="98">
        <v>13</v>
      </c>
      <c r="BF577" s="98">
        <v>10.9</v>
      </c>
      <c r="BG577" s="98">
        <v>1.9</v>
      </c>
      <c r="BI577" s="93">
        <v>4.5999999999999996</v>
      </c>
      <c r="BJ577" s="98">
        <v>3.2</v>
      </c>
      <c r="BK577" s="98">
        <v>508000</v>
      </c>
      <c r="BL577" s="98">
        <v>85000</v>
      </c>
      <c r="BM577" s="98">
        <v>5080</v>
      </c>
      <c r="BN577" s="98">
        <v>890</v>
      </c>
      <c r="BO577" s="99">
        <v>23.1</v>
      </c>
      <c r="BP577" s="98">
        <v>4.0999999999999996</v>
      </c>
      <c r="BQ577" s="99">
        <v>74</v>
      </c>
      <c r="BR577" s="98">
        <v>12</v>
      </c>
      <c r="CD577" s="3"/>
      <c r="CE577" s="3"/>
      <c r="CF577" s="3"/>
    </row>
    <row r="578" spans="1:84" s="98" customFormat="1">
      <c r="A578" s="3" t="s">
        <v>667</v>
      </c>
      <c r="B578" s="3" t="s">
        <v>268</v>
      </c>
      <c r="C578" s="3"/>
      <c r="D578" s="93">
        <v>7.0069999999999997</v>
      </c>
      <c r="E578" s="94">
        <v>7.3700000000000002E-2</v>
      </c>
      <c r="F578" s="94">
        <v>3.5000000000000001E-3</v>
      </c>
      <c r="G578" s="95">
        <v>1.7629999999999999</v>
      </c>
      <c r="H578" s="96">
        <v>9.4E-2</v>
      </c>
      <c r="I578" s="97">
        <v>0.1739</v>
      </c>
      <c r="J578" s="95">
        <v>3.8999999999999998E-3</v>
      </c>
      <c r="K578" s="96">
        <v>1.5226E-2</v>
      </c>
      <c r="M578" s="99">
        <v>1033.5999999999999</v>
      </c>
      <c r="N578" s="98">
        <v>22</v>
      </c>
      <c r="O578" s="99">
        <v>1029</v>
      </c>
      <c r="P578" s="98">
        <v>53</v>
      </c>
      <c r="Q578" s="98">
        <v>-2.2999999999999998</v>
      </c>
      <c r="R578" s="97">
        <v>3.7000000000000002E-3</v>
      </c>
      <c r="T578" s="98">
        <v>110</v>
      </c>
      <c r="U578" s="98">
        <v>120</v>
      </c>
      <c r="V578" s="98" t="s">
        <v>250</v>
      </c>
      <c r="W578" s="98" t="s">
        <v>250</v>
      </c>
      <c r="X578" s="98" t="s">
        <v>250</v>
      </c>
      <c r="Y578" s="98" t="s">
        <v>250</v>
      </c>
      <c r="Z578" s="98">
        <v>1.1499999999999999</v>
      </c>
      <c r="AA578" s="98">
        <v>0.52</v>
      </c>
      <c r="AB578" s="98">
        <v>0.28999999999999998</v>
      </c>
      <c r="AC578" s="98">
        <v>0.22</v>
      </c>
      <c r="AD578" s="98">
        <v>119</v>
      </c>
      <c r="AE578" s="98">
        <v>14</v>
      </c>
      <c r="AF578" s="95" t="s">
        <v>250</v>
      </c>
      <c r="AG578" s="98" t="s">
        <v>250</v>
      </c>
      <c r="AH578" s="96">
        <v>3.5</v>
      </c>
      <c r="AI578" s="96">
        <v>1.1000000000000001</v>
      </c>
      <c r="AJ578" s="95">
        <v>8.0000000000000002E-3</v>
      </c>
      <c r="AK578" s="95">
        <v>1.0999999999999999E-2</v>
      </c>
      <c r="AL578" s="96">
        <v>0.3</v>
      </c>
      <c r="AM578" s="96">
        <v>0.27</v>
      </c>
      <c r="AN578" s="96">
        <v>0.55000000000000004</v>
      </c>
      <c r="AO578" s="96">
        <v>0.61</v>
      </c>
      <c r="AP578" s="96">
        <v>0.21</v>
      </c>
      <c r="AQ578" s="96">
        <v>0.11</v>
      </c>
      <c r="AR578" s="96">
        <v>1.6</v>
      </c>
      <c r="AS578" s="93">
        <v>1.1000000000000001</v>
      </c>
      <c r="AT578" s="96">
        <v>0.62</v>
      </c>
      <c r="AU578" s="96">
        <v>0.19</v>
      </c>
      <c r="AV578" s="99">
        <v>8</v>
      </c>
      <c r="AW578" s="98">
        <v>2.2999999999999998</v>
      </c>
      <c r="AX578" s="98">
        <v>3.68</v>
      </c>
      <c r="AY578" s="98">
        <v>0.61</v>
      </c>
      <c r="AZ578" s="98">
        <v>21.4</v>
      </c>
      <c r="BA578" s="98">
        <v>4.3</v>
      </c>
      <c r="BB578" s="98">
        <v>6.1</v>
      </c>
      <c r="BC578" s="98">
        <v>0.89</v>
      </c>
      <c r="BD578" s="98">
        <v>59.2</v>
      </c>
      <c r="BE578" s="98">
        <v>8.4</v>
      </c>
      <c r="BF578" s="98">
        <v>9.6</v>
      </c>
      <c r="BG578" s="98">
        <v>1.5</v>
      </c>
      <c r="BI578" s="93">
        <v>4.3</v>
      </c>
      <c r="BJ578" s="98">
        <v>2.2000000000000002</v>
      </c>
      <c r="BK578" s="98">
        <v>535000</v>
      </c>
      <c r="BL578" s="98">
        <v>82000</v>
      </c>
      <c r="BM578" s="98">
        <v>6140</v>
      </c>
      <c r="BN578" s="98">
        <v>910</v>
      </c>
      <c r="BO578" s="99">
        <v>22.9</v>
      </c>
      <c r="BP578" s="98">
        <v>2.6</v>
      </c>
      <c r="BQ578" s="99">
        <v>74.5</v>
      </c>
      <c r="BR578" s="98">
        <v>9</v>
      </c>
      <c r="CD578" s="3"/>
      <c r="CE578" s="3"/>
      <c r="CF578" s="3"/>
    </row>
    <row r="579" spans="1:84" s="98" customFormat="1">
      <c r="A579" s="3" t="s">
        <v>668</v>
      </c>
      <c r="B579" s="3" t="s">
        <v>268</v>
      </c>
      <c r="C579" s="3"/>
      <c r="D579" s="93">
        <v>7.016</v>
      </c>
      <c r="E579" s="94">
        <v>7.6100000000000001E-2</v>
      </c>
      <c r="F579" s="94">
        <v>3.2000000000000002E-3</v>
      </c>
      <c r="G579" s="95">
        <v>1.804</v>
      </c>
      <c r="H579" s="96">
        <v>8.8999999999999996E-2</v>
      </c>
      <c r="I579" s="97">
        <v>0.17213999999999999</v>
      </c>
      <c r="J579" s="95">
        <v>3.8E-3</v>
      </c>
      <c r="K579" s="96">
        <v>0.31678000000000001</v>
      </c>
      <c r="M579" s="99">
        <v>1023.9</v>
      </c>
      <c r="N579" s="98">
        <v>21</v>
      </c>
      <c r="O579" s="99">
        <v>1091</v>
      </c>
      <c r="P579" s="98">
        <v>40</v>
      </c>
      <c r="Q579" s="98">
        <v>5.3</v>
      </c>
      <c r="R579" s="97">
        <v>3.7000000000000002E-3</v>
      </c>
      <c r="T579" s="98" t="s">
        <v>250</v>
      </c>
      <c r="U579" s="98" t="s">
        <v>250</v>
      </c>
      <c r="V579" s="98">
        <v>0.2</v>
      </c>
      <c r="W579" s="98">
        <v>1.1000000000000001</v>
      </c>
      <c r="X579" s="98" t="s">
        <v>250</v>
      </c>
      <c r="Y579" s="98" t="s">
        <v>250</v>
      </c>
      <c r="Z579" s="98">
        <v>1.91</v>
      </c>
      <c r="AA579" s="98">
        <v>0.82</v>
      </c>
      <c r="AB579" s="98">
        <v>0.6</v>
      </c>
      <c r="AC579" s="98">
        <v>0.43</v>
      </c>
      <c r="AD579" s="98">
        <v>123</v>
      </c>
      <c r="AE579" s="98">
        <v>21</v>
      </c>
      <c r="AF579" s="95" t="s">
        <v>250</v>
      </c>
      <c r="AG579" s="98" t="s">
        <v>250</v>
      </c>
      <c r="AH579" s="96">
        <v>2.17</v>
      </c>
      <c r="AI579" s="96">
        <v>0.45</v>
      </c>
      <c r="AJ579" s="95">
        <v>1.4E-2</v>
      </c>
      <c r="AK579" s="95">
        <v>1.6E-2</v>
      </c>
      <c r="AL579" s="96">
        <v>0.2</v>
      </c>
      <c r="AM579" s="96">
        <v>0.22</v>
      </c>
      <c r="AN579" s="96">
        <v>0.43</v>
      </c>
      <c r="AO579" s="96">
        <v>0.32</v>
      </c>
      <c r="AP579" s="96">
        <v>0.31</v>
      </c>
      <c r="AQ579" s="96">
        <v>0.16</v>
      </c>
      <c r="AR579" s="96">
        <v>1.78</v>
      </c>
      <c r="AS579" s="93">
        <v>0.91</v>
      </c>
      <c r="AT579" s="96">
        <v>0.67</v>
      </c>
      <c r="AU579" s="96">
        <v>0.31</v>
      </c>
      <c r="AV579" s="99">
        <v>10.1</v>
      </c>
      <c r="AW579" s="98">
        <v>2.2000000000000002</v>
      </c>
      <c r="AX579" s="98">
        <v>4.2699999999999996</v>
      </c>
      <c r="AY579" s="98">
        <v>0.84</v>
      </c>
      <c r="AZ579" s="98">
        <v>20</v>
      </c>
      <c r="BA579" s="98">
        <v>5.2</v>
      </c>
      <c r="BB579" s="98">
        <v>5.6</v>
      </c>
      <c r="BC579" s="98">
        <v>1.1000000000000001</v>
      </c>
      <c r="BD579" s="98">
        <v>62</v>
      </c>
      <c r="BE579" s="98">
        <v>14</v>
      </c>
      <c r="BF579" s="98">
        <v>12</v>
      </c>
      <c r="BG579" s="98">
        <v>2.1</v>
      </c>
      <c r="BI579" s="93">
        <v>4.9000000000000004</v>
      </c>
      <c r="BJ579" s="98">
        <v>2.5</v>
      </c>
      <c r="BK579" s="98">
        <v>553000</v>
      </c>
      <c r="BL579" s="98">
        <v>76000</v>
      </c>
      <c r="BM579" s="98">
        <v>5820</v>
      </c>
      <c r="BN579" s="98">
        <v>930</v>
      </c>
      <c r="BO579" s="99">
        <v>24.3</v>
      </c>
      <c r="BP579" s="98">
        <v>3</v>
      </c>
      <c r="BQ579" s="99">
        <v>79.400000000000006</v>
      </c>
      <c r="BR579" s="98">
        <v>9</v>
      </c>
      <c r="CD579" s="3"/>
      <c r="CE579" s="3"/>
      <c r="CF579" s="3"/>
    </row>
    <row r="580" spans="1:84" s="98" customFormat="1">
      <c r="A580" s="3" t="s">
        <v>669</v>
      </c>
      <c r="B580" s="3" t="s">
        <v>268</v>
      </c>
      <c r="C580" s="3"/>
      <c r="D580" s="93">
        <v>7.0049999999999999</v>
      </c>
      <c r="E580" s="94">
        <v>7.51E-2</v>
      </c>
      <c r="F580" s="94">
        <v>3.5000000000000001E-3</v>
      </c>
      <c r="G580" s="95">
        <v>1.7889999999999999</v>
      </c>
      <c r="H580" s="96">
        <v>9.4E-2</v>
      </c>
      <c r="I580" s="97">
        <v>0.17299999999999999</v>
      </c>
      <c r="J580" s="95">
        <v>3.8999999999999998E-3</v>
      </c>
      <c r="K580" s="96">
        <v>0.13533999999999999</v>
      </c>
      <c r="M580" s="99">
        <v>1028.5</v>
      </c>
      <c r="N580" s="98">
        <v>21</v>
      </c>
      <c r="O580" s="99">
        <v>1060</v>
      </c>
      <c r="P580" s="98">
        <v>55</v>
      </c>
      <c r="Q580" s="98">
        <v>1.3</v>
      </c>
      <c r="R580" s="97">
        <v>2.8E-3</v>
      </c>
      <c r="T580" s="98" t="s">
        <v>250</v>
      </c>
      <c r="U580" s="98" t="s">
        <v>250</v>
      </c>
      <c r="V580" s="98">
        <v>1.3</v>
      </c>
      <c r="W580" s="98">
        <v>1.9</v>
      </c>
      <c r="X580" s="98" t="s">
        <v>250</v>
      </c>
      <c r="Y580" s="98" t="s">
        <v>250</v>
      </c>
      <c r="Z580" s="98">
        <v>1.34</v>
      </c>
      <c r="AA580" s="98">
        <v>0.47</v>
      </c>
      <c r="AB580" s="98">
        <v>0.37</v>
      </c>
      <c r="AC580" s="98">
        <v>0.19</v>
      </c>
      <c r="AD580" s="98">
        <v>99</v>
      </c>
      <c r="AE580" s="98">
        <v>13</v>
      </c>
      <c r="AF580" s="95" t="s">
        <v>250</v>
      </c>
      <c r="AG580" s="98" t="s">
        <v>250</v>
      </c>
      <c r="AH580" s="96">
        <v>2.29</v>
      </c>
      <c r="AI580" s="96">
        <v>0.53</v>
      </c>
      <c r="AJ580" s="95">
        <v>8.3999999999999995E-3</v>
      </c>
      <c r="AK580" s="95">
        <v>9.4000000000000004E-3</v>
      </c>
      <c r="AL580" s="96">
        <v>0.13</v>
      </c>
      <c r="AM580" s="96">
        <v>0.18</v>
      </c>
      <c r="AN580" s="96">
        <v>0.28999999999999998</v>
      </c>
      <c r="AO580" s="96">
        <v>0.26</v>
      </c>
      <c r="AP580" s="96">
        <v>0.27</v>
      </c>
      <c r="AQ580" s="96">
        <v>0.13</v>
      </c>
      <c r="AR580" s="96">
        <v>1.59</v>
      </c>
      <c r="AS580" s="93">
        <v>0.93</v>
      </c>
      <c r="AT580" s="96">
        <v>0.53</v>
      </c>
      <c r="AU580" s="96">
        <v>0.13</v>
      </c>
      <c r="AV580" s="99">
        <v>8.6999999999999993</v>
      </c>
      <c r="AW580" s="98">
        <v>2.5</v>
      </c>
      <c r="AX580" s="98">
        <v>3.53</v>
      </c>
      <c r="AY580" s="98">
        <v>0.67</v>
      </c>
      <c r="AZ580" s="98">
        <v>18.3</v>
      </c>
      <c r="BA580" s="98">
        <v>3.5</v>
      </c>
      <c r="BB580" s="98">
        <v>4.99</v>
      </c>
      <c r="BC580" s="98">
        <v>0.86</v>
      </c>
      <c r="BD580" s="98">
        <v>57.4</v>
      </c>
      <c r="BE580" s="98">
        <v>6.8</v>
      </c>
      <c r="BF580" s="98">
        <v>9.1999999999999993</v>
      </c>
      <c r="BG580" s="98">
        <v>1.3</v>
      </c>
      <c r="BI580" s="93">
        <v>5</v>
      </c>
      <c r="BJ580" s="98">
        <v>1.8</v>
      </c>
      <c r="BK580" s="98">
        <v>547000</v>
      </c>
      <c r="BL580" s="98">
        <v>86000</v>
      </c>
      <c r="BM580" s="98">
        <v>5500</v>
      </c>
      <c r="BN580" s="98">
        <v>790</v>
      </c>
      <c r="BO580" s="99">
        <v>20</v>
      </c>
      <c r="BP580" s="98">
        <v>2.6</v>
      </c>
      <c r="BQ580" s="99">
        <v>66.5</v>
      </c>
      <c r="BR580" s="98">
        <v>8.1</v>
      </c>
      <c r="CD580" s="3"/>
      <c r="CE580" s="3"/>
      <c r="CF580" s="3"/>
    </row>
    <row r="581" spans="1:84" s="98" customFormat="1">
      <c r="A581" s="3" t="s">
        <v>670</v>
      </c>
      <c r="B581" s="3" t="s">
        <v>268</v>
      </c>
      <c r="C581" s="3"/>
      <c r="D581" s="93">
        <v>7.0259999999999998</v>
      </c>
      <c r="E581" s="94">
        <v>7.6399999999999996E-2</v>
      </c>
      <c r="F581" s="94">
        <v>3.5000000000000001E-3</v>
      </c>
      <c r="G581" s="95">
        <v>1.8180000000000001</v>
      </c>
      <c r="H581" s="96">
        <v>9.1999999999999998E-2</v>
      </c>
      <c r="I581" s="97">
        <v>0.17301</v>
      </c>
      <c r="J581" s="95">
        <v>3.8E-3</v>
      </c>
      <c r="K581" s="96">
        <v>-9.2199000000000003E-2</v>
      </c>
      <c r="M581" s="99">
        <v>1028.7</v>
      </c>
      <c r="N581" s="98">
        <v>21</v>
      </c>
      <c r="O581" s="99">
        <v>1096</v>
      </c>
      <c r="P581" s="98">
        <v>65</v>
      </c>
      <c r="Q581" s="98">
        <v>3.6</v>
      </c>
      <c r="R581" s="97">
        <v>4.7000000000000002E-3</v>
      </c>
      <c r="T581" s="98">
        <v>40</v>
      </c>
      <c r="U581" s="98">
        <v>100</v>
      </c>
      <c r="V581" s="98">
        <v>0.19</v>
      </c>
      <c r="W581" s="98">
        <v>0.95</v>
      </c>
      <c r="X581" s="98" t="s">
        <v>250</v>
      </c>
      <c r="Y581" s="98" t="s">
        <v>250</v>
      </c>
      <c r="Z581" s="98">
        <v>0.75</v>
      </c>
      <c r="AA581" s="98">
        <v>0.36</v>
      </c>
      <c r="AB581" s="98">
        <v>0.28999999999999998</v>
      </c>
      <c r="AC581" s="98">
        <v>0.22</v>
      </c>
      <c r="AD581" s="98">
        <v>100</v>
      </c>
      <c r="AE581" s="98">
        <v>17</v>
      </c>
      <c r="AF581" s="95" t="s">
        <v>250</v>
      </c>
      <c r="AG581" s="98" t="s">
        <v>250</v>
      </c>
      <c r="AH581" s="96">
        <v>2.34</v>
      </c>
      <c r="AI581" s="96">
        <v>0.56999999999999995</v>
      </c>
      <c r="AJ581" s="95" t="s">
        <v>250</v>
      </c>
      <c r="AK581" s="95" t="s">
        <v>250</v>
      </c>
      <c r="AL581" s="96">
        <v>0.09</v>
      </c>
      <c r="AM581" s="96">
        <v>0.13</v>
      </c>
      <c r="AN581" s="96">
        <v>0.1</v>
      </c>
      <c r="AO581" s="96">
        <v>0.14000000000000001</v>
      </c>
      <c r="AP581" s="96">
        <v>0.113</v>
      </c>
      <c r="AQ581" s="96">
        <v>9.1999999999999998E-2</v>
      </c>
      <c r="AR581" s="96">
        <v>1.24</v>
      </c>
      <c r="AS581" s="93">
        <v>0.69</v>
      </c>
      <c r="AT581" s="96">
        <v>0.64</v>
      </c>
      <c r="AU581" s="96">
        <v>0.17</v>
      </c>
      <c r="AV581" s="99">
        <v>7.2</v>
      </c>
      <c r="AW581" s="98">
        <v>1.7</v>
      </c>
      <c r="AX581" s="98">
        <v>3.03</v>
      </c>
      <c r="AY581" s="98">
        <v>0.82</v>
      </c>
      <c r="AZ581" s="98">
        <v>16.2</v>
      </c>
      <c r="BA581" s="98">
        <v>3.2</v>
      </c>
      <c r="BB581" s="98">
        <v>4.12</v>
      </c>
      <c r="BC581" s="98">
        <v>0.7</v>
      </c>
      <c r="BD581" s="98">
        <v>47.4</v>
      </c>
      <c r="BE581" s="98">
        <v>5.8</v>
      </c>
      <c r="BF581" s="98">
        <v>8.6</v>
      </c>
      <c r="BG581" s="98">
        <v>1.2</v>
      </c>
      <c r="BI581" s="93">
        <v>4.7</v>
      </c>
      <c r="BJ581" s="98">
        <v>1.7</v>
      </c>
      <c r="BK581" s="98">
        <v>484000</v>
      </c>
      <c r="BL581" s="98">
        <v>56000</v>
      </c>
      <c r="BM581" s="98">
        <v>4730</v>
      </c>
      <c r="BN581" s="98">
        <v>330</v>
      </c>
      <c r="BO581" s="99">
        <v>18.100000000000001</v>
      </c>
      <c r="BP581" s="98">
        <v>1.3</v>
      </c>
      <c r="BQ581" s="99">
        <v>59.6</v>
      </c>
      <c r="BR581" s="98">
        <v>4</v>
      </c>
      <c r="CD581" s="3"/>
      <c r="CE581" s="3"/>
      <c r="CF581" s="3"/>
    </row>
    <row r="582" spans="1:84" s="98" customFormat="1">
      <c r="A582" s="3" t="s">
        <v>671</v>
      </c>
      <c r="B582" s="3" t="s">
        <v>268</v>
      </c>
      <c r="C582" s="3"/>
      <c r="D582" s="93">
        <v>7.1509999999999998</v>
      </c>
      <c r="E582" s="94">
        <v>7.4499999999999997E-2</v>
      </c>
      <c r="F582" s="94">
        <v>3.2000000000000002E-3</v>
      </c>
      <c r="G582" s="95">
        <v>1.7829999999999999</v>
      </c>
      <c r="H582" s="96">
        <v>8.5999999999999993E-2</v>
      </c>
      <c r="I582" s="97">
        <v>0.17399999999999999</v>
      </c>
      <c r="J582" s="95">
        <v>3.8999999999999998E-3</v>
      </c>
      <c r="K582" s="96">
        <v>1.1041E-2</v>
      </c>
      <c r="M582" s="99">
        <v>1034.2</v>
      </c>
      <c r="N582" s="98">
        <v>21</v>
      </c>
      <c r="O582" s="99">
        <v>1046</v>
      </c>
      <c r="P582" s="98">
        <v>62</v>
      </c>
      <c r="Q582" s="98">
        <v>-1.5</v>
      </c>
      <c r="R582" s="97">
        <v>4.0000000000000001E-3</v>
      </c>
      <c r="T582" s="98" t="s">
        <v>250</v>
      </c>
      <c r="U582" s="98" t="s">
        <v>250</v>
      </c>
      <c r="V582" s="98">
        <v>0.14000000000000001</v>
      </c>
      <c r="W582" s="98">
        <v>0.89</v>
      </c>
      <c r="X582" s="98" t="s">
        <v>250</v>
      </c>
      <c r="Y582" s="98" t="s">
        <v>250</v>
      </c>
      <c r="Z582" s="98">
        <v>0.96</v>
      </c>
      <c r="AA582" s="98">
        <v>0.43</v>
      </c>
      <c r="AB582" s="98">
        <v>0.37</v>
      </c>
      <c r="AC582" s="98">
        <v>0.21</v>
      </c>
      <c r="AD582" s="98">
        <v>96</v>
      </c>
      <c r="AE582" s="98">
        <v>17</v>
      </c>
      <c r="AF582" s="95">
        <v>4.3E-3</v>
      </c>
      <c r="AG582" s="98">
        <v>6.7000000000000002E-3</v>
      </c>
      <c r="AH582" s="96">
        <v>1.74</v>
      </c>
      <c r="AI582" s="96">
        <v>0.56999999999999995</v>
      </c>
      <c r="AJ582" s="95">
        <v>7.0000000000000001E-3</v>
      </c>
      <c r="AK582" s="95">
        <v>0.01</v>
      </c>
      <c r="AL582" s="96" t="s">
        <v>250</v>
      </c>
      <c r="AM582" s="96" t="s">
        <v>250</v>
      </c>
      <c r="AN582" s="96">
        <v>0.25</v>
      </c>
      <c r="AO582" s="96">
        <v>0.23</v>
      </c>
      <c r="AP582" s="96">
        <v>9.6000000000000002E-2</v>
      </c>
      <c r="AQ582" s="96">
        <v>7.5999999999999998E-2</v>
      </c>
      <c r="AR582" s="96">
        <v>1.89</v>
      </c>
      <c r="AS582" s="93">
        <v>0.87</v>
      </c>
      <c r="AT582" s="96">
        <v>0.52</v>
      </c>
      <c r="AU582" s="96">
        <v>0.27</v>
      </c>
      <c r="AV582" s="99">
        <v>8.4</v>
      </c>
      <c r="AW582" s="98">
        <v>3.3</v>
      </c>
      <c r="AX582" s="98">
        <v>3.66</v>
      </c>
      <c r="AY582" s="98">
        <v>0.87</v>
      </c>
      <c r="AZ582" s="98">
        <v>15.9</v>
      </c>
      <c r="BA582" s="98">
        <v>3.1</v>
      </c>
      <c r="BB582" s="98">
        <v>5</v>
      </c>
      <c r="BC582" s="98">
        <v>1</v>
      </c>
      <c r="BD582" s="98">
        <v>53</v>
      </c>
      <c r="BE582" s="98">
        <v>13</v>
      </c>
      <c r="BF582" s="98">
        <v>9.9</v>
      </c>
      <c r="BG582" s="98">
        <v>2</v>
      </c>
      <c r="BI582" s="93">
        <v>3.7</v>
      </c>
      <c r="BJ582" s="98">
        <v>2.9</v>
      </c>
      <c r="BK582" s="98">
        <v>498000</v>
      </c>
      <c r="BL582" s="98">
        <v>81000</v>
      </c>
      <c r="BM582" s="98">
        <v>5390</v>
      </c>
      <c r="BN582" s="98">
        <v>890</v>
      </c>
      <c r="BO582" s="99">
        <v>19.100000000000001</v>
      </c>
      <c r="BP582" s="98">
        <v>2.8</v>
      </c>
      <c r="BQ582" s="99">
        <v>65.5</v>
      </c>
      <c r="BR582" s="98">
        <v>9.3000000000000007</v>
      </c>
      <c r="CD582" s="3"/>
      <c r="CE582" s="3"/>
      <c r="CF582" s="3"/>
    </row>
    <row r="583" spans="1:84" s="98" customFormat="1">
      <c r="A583" s="3" t="s">
        <v>685</v>
      </c>
      <c r="B583" s="3" t="s">
        <v>268</v>
      </c>
      <c r="C583" s="3"/>
      <c r="D583" s="93">
        <v>7.016</v>
      </c>
      <c r="E583" s="94">
        <v>7.6600000000000001E-2</v>
      </c>
      <c r="F583" s="94">
        <v>3.3E-3</v>
      </c>
      <c r="G583" s="95">
        <v>1.821</v>
      </c>
      <c r="H583" s="96">
        <v>8.5000000000000006E-2</v>
      </c>
      <c r="I583" s="97">
        <v>0.1734</v>
      </c>
      <c r="J583" s="95">
        <v>3.8999999999999998E-3</v>
      </c>
      <c r="K583" s="96">
        <v>-0.16242000000000001</v>
      </c>
      <c r="M583" s="99">
        <v>1031</v>
      </c>
      <c r="N583" s="98">
        <v>21</v>
      </c>
      <c r="O583" s="99">
        <v>1106</v>
      </c>
      <c r="P583" s="98">
        <v>43</v>
      </c>
      <c r="Q583" s="98">
        <v>7</v>
      </c>
      <c r="R583" s="97">
        <v>5.3E-3</v>
      </c>
      <c r="T583" s="98" t="s">
        <v>250</v>
      </c>
      <c r="U583" s="98" t="s">
        <v>250</v>
      </c>
      <c r="V583" s="98" t="s">
        <v>250</v>
      </c>
      <c r="W583" s="98" t="s">
        <v>250</v>
      </c>
      <c r="X583" s="98">
        <v>0.1</v>
      </c>
      <c r="Y583" s="98">
        <v>0.14000000000000001</v>
      </c>
      <c r="Z583" s="98">
        <v>1.17</v>
      </c>
      <c r="AA583" s="98">
        <v>0.63</v>
      </c>
      <c r="AB583" s="98">
        <v>0.24</v>
      </c>
      <c r="AC583" s="98">
        <v>0.16</v>
      </c>
      <c r="AD583" s="98">
        <v>99</v>
      </c>
      <c r="AE583" s="98">
        <v>14</v>
      </c>
      <c r="AF583" s="95" t="s">
        <v>250</v>
      </c>
      <c r="AG583" s="98" t="s">
        <v>250</v>
      </c>
      <c r="AH583" s="96">
        <v>2.02</v>
      </c>
      <c r="AI583" s="96">
        <v>0.55000000000000004</v>
      </c>
      <c r="AJ583" s="95">
        <v>8.9999999999999993E-3</v>
      </c>
      <c r="AK583" s="95">
        <v>1.2999999999999999E-2</v>
      </c>
      <c r="AL583" s="96" t="s">
        <v>250</v>
      </c>
      <c r="AM583" s="96" t="s">
        <v>250</v>
      </c>
      <c r="AN583" s="96">
        <v>0.52</v>
      </c>
      <c r="AO583" s="96">
        <v>0.62</v>
      </c>
      <c r="AP583" s="96">
        <v>0.11600000000000001</v>
      </c>
      <c r="AQ583" s="96">
        <v>8.8999999999999996E-2</v>
      </c>
      <c r="AR583" s="96">
        <v>1.6</v>
      </c>
      <c r="AS583" s="93">
        <v>1</v>
      </c>
      <c r="AT583" s="96">
        <v>0.53</v>
      </c>
      <c r="AU583" s="96">
        <v>0.24</v>
      </c>
      <c r="AV583" s="99">
        <v>9.9</v>
      </c>
      <c r="AW583" s="98">
        <v>1.8</v>
      </c>
      <c r="AX583" s="98">
        <v>3.42</v>
      </c>
      <c r="AY583" s="98">
        <v>0.63</v>
      </c>
      <c r="AZ583" s="98">
        <v>18.5</v>
      </c>
      <c r="BA583" s="98">
        <v>3.6</v>
      </c>
      <c r="BB583" s="98">
        <v>5.6</v>
      </c>
      <c r="BC583" s="98">
        <v>0.98</v>
      </c>
      <c r="BD583" s="98">
        <v>53.9</v>
      </c>
      <c r="BE583" s="98">
        <v>7.1</v>
      </c>
      <c r="BF583" s="98">
        <v>9.1999999999999993</v>
      </c>
      <c r="BG583" s="98">
        <v>1.3</v>
      </c>
      <c r="BI583" s="93">
        <v>6</v>
      </c>
      <c r="BJ583" s="98">
        <v>3.2</v>
      </c>
      <c r="BK583" s="98">
        <v>503000</v>
      </c>
      <c r="BL583" s="98">
        <v>80000</v>
      </c>
      <c r="BM583" s="98">
        <v>5220</v>
      </c>
      <c r="BN583" s="98">
        <v>780</v>
      </c>
      <c r="BO583" s="99">
        <v>20.8</v>
      </c>
      <c r="BP583" s="98">
        <v>2.2999999999999998</v>
      </c>
      <c r="BQ583" s="99">
        <v>70.5</v>
      </c>
      <c r="BR583" s="98">
        <v>7.9</v>
      </c>
      <c r="CD583" s="3"/>
      <c r="CE583" s="3"/>
      <c r="CF583" s="3"/>
    </row>
    <row r="584" spans="1:84" s="98" customFormat="1">
      <c r="A584" s="3" t="s">
        <v>672</v>
      </c>
      <c r="B584" s="3" t="s">
        <v>268</v>
      </c>
      <c r="C584" s="3"/>
      <c r="D584" s="93">
        <v>7.0529999999999999</v>
      </c>
      <c r="E584" s="94">
        <v>7.5499999999999998E-2</v>
      </c>
      <c r="F584" s="94">
        <v>3.5999999999999999E-3</v>
      </c>
      <c r="G584" s="95">
        <v>1.8120000000000001</v>
      </c>
      <c r="H584" s="96">
        <v>9.5000000000000001E-2</v>
      </c>
      <c r="I584" s="97">
        <v>0.17419999999999999</v>
      </c>
      <c r="J584" s="95">
        <v>3.8999999999999998E-3</v>
      </c>
      <c r="K584" s="96">
        <v>-0.45891999999999999</v>
      </c>
      <c r="M584" s="99">
        <v>1035.3</v>
      </c>
      <c r="N584" s="98">
        <v>22</v>
      </c>
      <c r="O584" s="99">
        <v>1082</v>
      </c>
      <c r="P584" s="98">
        <v>63</v>
      </c>
      <c r="Q584" s="98">
        <v>3.7</v>
      </c>
      <c r="R584" s="97">
        <v>3.3999999999999998E-3</v>
      </c>
      <c r="T584" s="98" t="s">
        <v>250</v>
      </c>
      <c r="U584" s="98" t="s">
        <v>250</v>
      </c>
      <c r="V584" s="98" t="s">
        <v>250</v>
      </c>
      <c r="W584" s="98" t="s">
        <v>250</v>
      </c>
      <c r="X584" s="98" t="s">
        <v>250</v>
      </c>
      <c r="Y584" s="98" t="s">
        <v>250</v>
      </c>
      <c r="Z584" s="98">
        <v>1.39</v>
      </c>
      <c r="AA584" s="98">
        <v>0.55000000000000004</v>
      </c>
      <c r="AB584" s="98">
        <v>0.54</v>
      </c>
      <c r="AC584" s="98">
        <v>0.43</v>
      </c>
      <c r="AD584" s="98">
        <v>113</v>
      </c>
      <c r="AE584" s="98">
        <v>14</v>
      </c>
      <c r="AF584" s="95">
        <v>7.7000000000000002E-3</v>
      </c>
      <c r="AG584" s="98">
        <v>8.8000000000000005E-3</v>
      </c>
      <c r="AH584" s="96">
        <v>2.69</v>
      </c>
      <c r="AI584" s="96">
        <v>0.86</v>
      </c>
      <c r="AJ584" s="95" t="s">
        <v>250</v>
      </c>
      <c r="AK584" s="95" t="s">
        <v>250</v>
      </c>
      <c r="AL584" s="96" t="s">
        <v>250</v>
      </c>
      <c r="AM584" s="96" t="s">
        <v>250</v>
      </c>
      <c r="AN584" s="96">
        <v>0.24</v>
      </c>
      <c r="AO584" s="96">
        <v>0.26</v>
      </c>
      <c r="AP584" s="96">
        <v>0.15</v>
      </c>
      <c r="AQ584" s="96">
        <v>0.14000000000000001</v>
      </c>
      <c r="AR584" s="96">
        <v>2.04</v>
      </c>
      <c r="AS584" s="93">
        <v>0.98</v>
      </c>
      <c r="AT584" s="96">
        <v>0.54</v>
      </c>
      <c r="AU584" s="96">
        <v>0.17</v>
      </c>
      <c r="AV584" s="99">
        <v>8.6</v>
      </c>
      <c r="AW584" s="98">
        <v>1.9</v>
      </c>
      <c r="AX584" s="98">
        <v>3.4</v>
      </c>
      <c r="AY584" s="98">
        <v>0.54</v>
      </c>
      <c r="AZ584" s="98">
        <v>20.100000000000001</v>
      </c>
      <c r="BA584" s="98">
        <v>3.9</v>
      </c>
      <c r="BB584" s="98">
        <v>5.54</v>
      </c>
      <c r="BC584" s="98">
        <v>0.79</v>
      </c>
      <c r="BD584" s="98">
        <v>58.6</v>
      </c>
      <c r="BE584" s="98">
        <v>8.4</v>
      </c>
      <c r="BF584" s="98">
        <v>11.8</v>
      </c>
      <c r="BG584" s="98">
        <v>2.1</v>
      </c>
      <c r="BI584" s="93">
        <v>5.0999999999999996</v>
      </c>
      <c r="BJ584" s="98">
        <v>2.2000000000000002</v>
      </c>
      <c r="BK584" s="98">
        <v>520000</v>
      </c>
      <c r="BL584" s="98">
        <v>63000</v>
      </c>
      <c r="BM584" s="98">
        <v>5830</v>
      </c>
      <c r="BN584" s="98">
        <v>760</v>
      </c>
      <c r="BO584" s="99">
        <v>20</v>
      </c>
      <c r="BP584" s="98">
        <v>2.5</v>
      </c>
      <c r="BQ584" s="99">
        <v>67.2</v>
      </c>
      <c r="BR584" s="98">
        <v>9.1999999999999993</v>
      </c>
      <c r="CD584" s="3"/>
      <c r="CE584" s="3"/>
      <c r="CF584" s="3"/>
    </row>
    <row r="585" spans="1:84" s="98" customFormat="1">
      <c r="A585" s="3" t="s">
        <v>673</v>
      </c>
      <c r="B585" s="3" t="s">
        <v>268</v>
      </c>
      <c r="C585" s="3"/>
      <c r="D585" s="93">
        <v>7.0289999999999999</v>
      </c>
      <c r="E585" s="94">
        <v>7.4099999999999999E-2</v>
      </c>
      <c r="F585" s="94">
        <v>3.5999999999999999E-3</v>
      </c>
      <c r="G585" s="95">
        <v>1.7749999999999999</v>
      </c>
      <c r="H585" s="96">
        <v>9.6000000000000002E-2</v>
      </c>
      <c r="I585" s="97">
        <v>0.1739</v>
      </c>
      <c r="J585" s="95">
        <v>4.0000000000000001E-3</v>
      </c>
      <c r="K585" s="96">
        <v>-1.5826E-2</v>
      </c>
      <c r="M585" s="99">
        <v>1033.7</v>
      </c>
      <c r="N585" s="98">
        <v>22</v>
      </c>
      <c r="O585" s="99">
        <v>1044</v>
      </c>
      <c r="P585" s="98">
        <v>58</v>
      </c>
      <c r="Q585" s="98">
        <v>-1</v>
      </c>
      <c r="R585" s="97">
        <v>4.4999999999999997E-3</v>
      </c>
      <c r="T585" s="98" t="s">
        <v>250</v>
      </c>
      <c r="U585" s="98" t="s">
        <v>250</v>
      </c>
      <c r="V585" s="98" t="s">
        <v>250</v>
      </c>
      <c r="W585" s="98" t="s">
        <v>250</v>
      </c>
      <c r="X585" s="98" t="s">
        <v>250</v>
      </c>
      <c r="Y585" s="98" t="s">
        <v>250</v>
      </c>
      <c r="Z585" s="98">
        <v>1.44</v>
      </c>
      <c r="AA585" s="98">
        <v>0.35</v>
      </c>
      <c r="AB585" s="98">
        <v>0.61</v>
      </c>
      <c r="AC585" s="98">
        <v>0.36</v>
      </c>
      <c r="AD585" s="98">
        <v>128</v>
      </c>
      <c r="AE585" s="98">
        <v>24</v>
      </c>
      <c r="AF585" s="95">
        <v>7.0000000000000001E-3</v>
      </c>
      <c r="AG585" s="98">
        <v>1.0999999999999999E-2</v>
      </c>
      <c r="AH585" s="96">
        <v>2.76</v>
      </c>
      <c r="AI585" s="96">
        <v>0.67</v>
      </c>
      <c r="AJ585" s="95">
        <v>1.2E-2</v>
      </c>
      <c r="AK585" s="95">
        <v>1.4E-2</v>
      </c>
      <c r="AL585" s="96">
        <v>0.48</v>
      </c>
      <c r="AM585" s="96">
        <v>0.42</v>
      </c>
      <c r="AN585" s="96">
        <v>0.54</v>
      </c>
      <c r="AO585" s="96">
        <v>0.44</v>
      </c>
      <c r="AP585" s="96">
        <v>0.15</v>
      </c>
      <c r="AQ585" s="96">
        <v>0.14000000000000001</v>
      </c>
      <c r="AR585" s="96">
        <v>1.88</v>
      </c>
      <c r="AS585" s="93">
        <v>0.94</v>
      </c>
      <c r="AT585" s="96">
        <v>0.6</v>
      </c>
      <c r="AU585" s="96">
        <v>0.22</v>
      </c>
      <c r="AV585" s="99">
        <v>9.1999999999999993</v>
      </c>
      <c r="AW585" s="98">
        <v>2.2999999999999998</v>
      </c>
      <c r="AX585" s="98">
        <v>3.82</v>
      </c>
      <c r="AY585" s="98">
        <v>0.81</v>
      </c>
      <c r="AZ585" s="98">
        <v>24.2</v>
      </c>
      <c r="BA585" s="98">
        <v>3.9</v>
      </c>
      <c r="BB585" s="98">
        <v>5.95</v>
      </c>
      <c r="BC585" s="98">
        <v>0.98</v>
      </c>
      <c r="BD585" s="98">
        <v>66.400000000000006</v>
      </c>
      <c r="BE585" s="98">
        <v>9.5</v>
      </c>
      <c r="BF585" s="98">
        <v>11.3</v>
      </c>
      <c r="BG585" s="98">
        <v>2</v>
      </c>
      <c r="BI585" s="93">
        <v>6.6</v>
      </c>
      <c r="BJ585" s="98">
        <v>3.7</v>
      </c>
      <c r="BK585" s="98">
        <v>614000</v>
      </c>
      <c r="BL585" s="98">
        <v>71000</v>
      </c>
      <c r="BM585" s="98">
        <v>6360</v>
      </c>
      <c r="BN585" s="98">
        <v>950</v>
      </c>
      <c r="BO585" s="99">
        <v>23.2</v>
      </c>
      <c r="BP585" s="98">
        <v>3</v>
      </c>
      <c r="BQ585" s="99">
        <v>79</v>
      </c>
      <c r="BR585" s="98">
        <v>11</v>
      </c>
      <c r="CD585" s="3"/>
      <c r="CE585" s="3"/>
      <c r="CF585" s="3"/>
    </row>
    <row r="586" spans="1:84" s="98" customFormat="1">
      <c r="A586" s="3" t="s">
        <v>674</v>
      </c>
      <c r="B586" s="3" t="s">
        <v>268</v>
      </c>
      <c r="C586" s="3"/>
      <c r="D586" s="93">
        <v>7.1340000000000003</v>
      </c>
      <c r="E586" s="94">
        <v>7.3200000000000001E-2</v>
      </c>
      <c r="F586" s="94">
        <v>2.5000000000000001E-3</v>
      </c>
      <c r="G586" s="95">
        <v>1.7629999999999999</v>
      </c>
      <c r="H586" s="96">
        <v>7.3999999999999996E-2</v>
      </c>
      <c r="I586" s="97">
        <v>0.1749</v>
      </c>
      <c r="J586" s="95">
        <v>4.0000000000000001E-3</v>
      </c>
      <c r="K586" s="96">
        <v>8.4001000000000006E-2</v>
      </c>
      <c r="M586" s="99">
        <v>1038.9000000000001</v>
      </c>
      <c r="N586" s="98">
        <v>22</v>
      </c>
      <c r="O586" s="99">
        <v>1040</v>
      </c>
      <c r="P586" s="98">
        <v>60</v>
      </c>
      <c r="Q586" s="98">
        <v>-1.9</v>
      </c>
      <c r="R586" s="97">
        <v>1.6999999999999999E-3</v>
      </c>
      <c r="T586" s="98">
        <v>117</v>
      </c>
      <c r="U586" s="98">
        <v>97</v>
      </c>
      <c r="V586" s="98">
        <v>0.6</v>
      </c>
      <c r="W586" s="98">
        <v>1.1000000000000001</v>
      </c>
      <c r="X586" s="98">
        <v>0.26</v>
      </c>
      <c r="Y586" s="98">
        <v>0.31</v>
      </c>
      <c r="Z586" s="98">
        <v>1.35</v>
      </c>
      <c r="AA586" s="98">
        <v>0.48</v>
      </c>
      <c r="AB586" s="98">
        <v>0.39</v>
      </c>
      <c r="AC586" s="98">
        <v>0.23</v>
      </c>
      <c r="AD586" s="98">
        <v>109</v>
      </c>
      <c r="AE586" s="98">
        <v>13</v>
      </c>
      <c r="AF586" s="95" t="s">
        <v>250</v>
      </c>
      <c r="AG586" s="98" t="s">
        <v>250</v>
      </c>
      <c r="AH586" s="96">
        <v>2.23</v>
      </c>
      <c r="AI586" s="96">
        <v>0.61</v>
      </c>
      <c r="AJ586" s="95">
        <v>1.9E-2</v>
      </c>
      <c r="AK586" s="95">
        <v>1.4999999999999999E-2</v>
      </c>
      <c r="AL586" s="96">
        <v>0.16</v>
      </c>
      <c r="AM586" s="96">
        <v>0.22</v>
      </c>
      <c r="AN586" s="96">
        <v>0.28999999999999998</v>
      </c>
      <c r="AO586" s="96">
        <v>0.26</v>
      </c>
      <c r="AP586" s="96">
        <v>9.4E-2</v>
      </c>
      <c r="AQ586" s="96">
        <v>7.0999999999999994E-2</v>
      </c>
      <c r="AR586" s="96">
        <v>2.4</v>
      </c>
      <c r="AS586" s="93">
        <v>1.4</v>
      </c>
      <c r="AT586" s="96">
        <v>0.61</v>
      </c>
      <c r="AU586" s="96">
        <v>0.22</v>
      </c>
      <c r="AV586" s="99">
        <v>9</v>
      </c>
      <c r="AW586" s="98">
        <v>2.4</v>
      </c>
      <c r="AX586" s="98">
        <v>4.46</v>
      </c>
      <c r="AY586" s="98">
        <v>0.83</v>
      </c>
      <c r="AZ586" s="98">
        <v>22.7</v>
      </c>
      <c r="BA586" s="98">
        <v>4.3</v>
      </c>
      <c r="BB586" s="98">
        <v>5.8</v>
      </c>
      <c r="BC586" s="98">
        <v>0.9</v>
      </c>
      <c r="BD586" s="98">
        <v>62.4</v>
      </c>
      <c r="BE586" s="98">
        <v>9.1</v>
      </c>
      <c r="BF586" s="98">
        <v>10.8</v>
      </c>
      <c r="BG586" s="98">
        <v>1.5</v>
      </c>
      <c r="BI586" s="93">
        <v>3.8</v>
      </c>
      <c r="BJ586" s="98">
        <v>1.6</v>
      </c>
      <c r="BK586" s="98">
        <v>517000</v>
      </c>
      <c r="BL586" s="98">
        <v>59000</v>
      </c>
      <c r="BM586" s="98">
        <v>6280</v>
      </c>
      <c r="BN586" s="98">
        <v>730</v>
      </c>
      <c r="BO586" s="99">
        <v>22</v>
      </c>
      <c r="BP586" s="98">
        <v>2.5</v>
      </c>
      <c r="BQ586" s="99">
        <v>73.599999999999994</v>
      </c>
      <c r="BR586" s="98">
        <v>8.3000000000000007</v>
      </c>
      <c r="CD586" s="3"/>
      <c r="CE586" s="3"/>
      <c r="CF586" s="3"/>
    </row>
    <row r="587" spans="1:84" s="98" customFormat="1">
      <c r="A587" s="3"/>
      <c r="B587" s="3"/>
      <c r="C587" s="3"/>
      <c r="E587" s="94"/>
      <c r="F587" s="94"/>
      <c r="J587" s="95"/>
      <c r="K587" s="96"/>
      <c r="M587" s="99"/>
      <c r="O587" s="99"/>
      <c r="R587" s="97"/>
      <c r="BO587" s="99"/>
      <c r="BQ587" s="99"/>
      <c r="CD587" s="3"/>
      <c r="CE587" s="3"/>
      <c r="CF587" s="3"/>
    </row>
    <row r="588" spans="1:84" s="98" customFormat="1">
      <c r="A588" s="3" t="s">
        <v>1352</v>
      </c>
      <c r="B588" s="3"/>
      <c r="C588" s="3"/>
      <c r="E588" s="94"/>
      <c r="F588" s="94"/>
      <c r="J588" s="95"/>
      <c r="K588" s="96"/>
      <c r="M588" s="99"/>
      <c r="O588" s="99"/>
      <c r="R588" s="97"/>
      <c r="BO588" s="99"/>
      <c r="BQ588" s="99"/>
      <c r="CD588" s="3"/>
      <c r="CE588" s="3"/>
      <c r="CF588" s="3"/>
    </row>
    <row r="589" spans="1:84" s="98" customFormat="1">
      <c r="A589" s="3"/>
      <c r="B589" s="3"/>
      <c r="C589" s="3"/>
      <c r="E589" s="94"/>
      <c r="F589" s="94"/>
      <c r="J589" s="95"/>
      <c r="K589" s="96"/>
      <c r="M589" s="99"/>
      <c r="O589" s="99"/>
      <c r="R589" s="97"/>
      <c r="BO589" s="99"/>
      <c r="BQ589" s="99"/>
      <c r="CD589" s="3"/>
      <c r="CE589" s="3"/>
      <c r="CF589" s="3"/>
    </row>
    <row r="590" spans="1:84" s="98" customFormat="1">
      <c r="A590" s="3"/>
      <c r="B590" s="3"/>
      <c r="C590" s="3"/>
      <c r="E590" s="94"/>
      <c r="F590" s="94"/>
      <c r="J590" s="95"/>
      <c r="K590" s="96"/>
      <c r="M590" s="99"/>
      <c r="O590" s="99"/>
      <c r="R590" s="97"/>
      <c r="BO590" s="99"/>
      <c r="BQ590" s="99"/>
      <c r="CD590" s="3"/>
      <c r="CE590" s="3"/>
      <c r="CF590" s="3"/>
    </row>
    <row r="591" spans="1:84" s="98" customFormat="1">
      <c r="A591" s="3"/>
      <c r="B591" s="3"/>
      <c r="C591" s="3"/>
      <c r="E591" s="94"/>
      <c r="F591" s="94"/>
      <c r="J591" s="95"/>
      <c r="K591" s="96"/>
      <c r="M591" s="99"/>
      <c r="O591" s="99"/>
      <c r="R591" s="97"/>
      <c r="BI591" s="93"/>
      <c r="BO591" s="99"/>
      <c r="BQ591" s="99"/>
      <c r="CD591" s="3"/>
      <c r="CE591" s="3"/>
      <c r="CF591" s="3"/>
    </row>
    <row r="592" spans="1:84" s="98" customFormat="1">
      <c r="A592" s="3"/>
      <c r="B592" s="3"/>
      <c r="C592" s="3"/>
      <c r="E592" s="94"/>
      <c r="F592" s="94"/>
      <c r="J592" s="95"/>
      <c r="K592" s="96"/>
      <c r="M592" s="99"/>
      <c r="O592" s="99"/>
      <c r="R592" s="97"/>
      <c r="BI592" s="93"/>
      <c r="BO592" s="99"/>
      <c r="BQ592" s="99"/>
      <c r="CD592" s="3"/>
      <c r="CE592" s="3"/>
      <c r="CF592" s="3"/>
    </row>
    <row r="593" spans="1:84" s="98" customFormat="1">
      <c r="A593" s="3"/>
      <c r="B593" s="3"/>
      <c r="C593" s="3"/>
      <c r="E593" s="94"/>
      <c r="F593" s="94"/>
      <c r="J593" s="95"/>
      <c r="K593" s="96"/>
      <c r="M593" s="99"/>
      <c r="O593" s="99"/>
      <c r="R593" s="97"/>
      <c r="BI593" s="93"/>
      <c r="BO593" s="99"/>
      <c r="BQ593" s="99"/>
      <c r="CD593" s="3"/>
      <c r="CE593" s="3"/>
      <c r="CF593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DD340-14ED-7D4F-BC7A-72DF188ED67A}">
  <dimension ref="A1:R267"/>
  <sheetViews>
    <sheetView topLeftCell="A19" workbookViewId="0">
      <selection activeCell="A267" sqref="A267"/>
    </sheetView>
  </sheetViews>
  <sheetFormatPr baseColWidth="10" defaultColWidth="15.83203125" defaultRowHeight="13"/>
  <cols>
    <col min="1" max="1" width="13.5" style="3" customWidth="1"/>
    <col min="2" max="10" width="10.6640625" style="98" customWidth="1"/>
    <col min="11" max="13" width="10.6640625" style="96" customWidth="1"/>
    <col min="14" max="14" width="10.6640625" style="98" customWidth="1"/>
    <col min="15" max="16" width="15.33203125" style="99" customWidth="1"/>
    <col min="17" max="17" width="0" style="98" hidden="1" customWidth="1"/>
    <col min="18" max="16384" width="15.83203125" style="98"/>
  </cols>
  <sheetData>
    <row r="1" spans="1:18" s="144" customFormat="1" ht="16">
      <c r="A1" s="44" t="s">
        <v>1348</v>
      </c>
      <c r="K1" s="145"/>
      <c r="L1" s="145"/>
      <c r="M1" s="145"/>
      <c r="O1" s="146"/>
      <c r="P1" s="146"/>
    </row>
    <row r="2" spans="1:18" s="90" customFormat="1" ht="43">
      <c r="A2" s="147" t="s">
        <v>686</v>
      </c>
      <c r="B2" s="148" t="s">
        <v>687</v>
      </c>
      <c r="C2" s="149" t="s">
        <v>688</v>
      </c>
      <c r="D2" s="150" t="s">
        <v>689</v>
      </c>
      <c r="E2" s="149" t="s">
        <v>690</v>
      </c>
      <c r="F2" s="150" t="s">
        <v>691</v>
      </c>
      <c r="G2" s="149" t="s">
        <v>692</v>
      </c>
      <c r="H2" s="150" t="s">
        <v>691</v>
      </c>
      <c r="I2" s="149" t="s">
        <v>693</v>
      </c>
      <c r="J2" s="150" t="s">
        <v>691</v>
      </c>
      <c r="K2" s="151" t="s">
        <v>694</v>
      </c>
      <c r="L2" s="151" t="s">
        <v>695</v>
      </c>
      <c r="M2" s="151" t="s">
        <v>691</v>
      </c>
      <c r="N2" s="150" t="s">
        <v>696</v>
      </c>
      <c r="O2" s="152" t="s">
        <v>697</v>
      </c>
      <c r="P2" s="152" t="s">
        <v>698</v>
      </c>
      <c r="Q2" s="153" t="s">
        <v>699</v>
      </c>
      <c r="R2" s="91"/>
    </row>
    <row r="3" spans="1:18">
      <c r="A3" s="3" t="s">
        <v>700</v>
      </c>
      <c r="B3" s="154">
        <v>2740000000</v>
      </c>
      <c r="C3" s="155">
        <v>0.28124900000000003</v>
      </c>
      <c r="D3" s="155">
        <v>4.0000000000000003E-5</v>
      </c>
      <c r="E3" s="155">
        <v>1.4671959999999999</v>
      </c>
      <c r="F3" s="155">
        <v>5.3999999999999998E-5</v>
      </c>
      <c r="G3" s="155">
        <v>2.0460000000000001E-3</v>
      </c>
      <c r="H3" s="155">
        <v>1.5E-5</v>
      </c>
      <c r="I3" s="94">
        <v>5.8189999999999999E-2</v>
      </c>
      <c r="J3" s="94">
        <v>2.9E-4</v>
      </c>
      <c r="K3" s="96">
        <v>-54.316883851688317</v>
      </c>
      <c r="L3" s="96">
        <v>4.2761974131266811</v>
      </c>
      <c r="M3" s="96">
        <v>1.4222272790303254</v>
      </c>
      <c r="N3" s="155">
        <v>0.28114161188860876</v>
      </c>
      <c r="O3" s="99">
        <v>2872.9575453271832</v>
      </c>
      <c r="P3" s="99">
        <v>2946.5614787531804</v>
      </c>
      <c r="Q3" s="96">
        <v>-0.93837349397590364</v>
      </c>
    </row>
    <row r="4" spans="1:18">
      <c r="A4" s="3" t="s">
        <v>701</v>
      </c>
      <c r="B4" s="154">
        <v>2740000000</v>
      </c>
      <c r="C4" s="155">
        <v>0.281252</v>
      </c>
      <c r="D4" s="155">
        <v>2.8E-5</v>
      </c>
      <c r="E4" s="155">
        <v>1.4671829999999999</v>
      </c>
      <c r="F4" s="155">
        <v>5.1E-5</v>
      </c>
      <c r="G4" s="155">
        <v>1.856E-3</v>
      </c>
      <c r="H4" s="155">
        <v>1.5999999999999999E-5</v>
      </c>
      <c r="I4" s="94">
        <v>5.6899999999999999E-2</v>
      </c>
      <c r="J4" s="94">
        <v>1.8E-3</v>
      </c>
      <c r="K4" s="96">
        <v>-54.210796187916799</v>
      </c>
      <c r="L4" s="96">
        <v>4.7378171009437864</v>
      </c>
      <c r="M4" s="96">
        <v>0.99554847609972552</v>
      </c>
      <c r="N4" s="155">
        <v>0.28115458439162161</v>
      </c>
      <c r="O4" s="99">
        <v>2854.2381631197827</v>
      </c>
      <c r="P4" s="99">
        <v>2918.406813378177</v>
      </c>
      <c r="Q4" s="96">
        <v>-0.94409638554216868</v>
      </c>
    </row>
    <row r="5" spans="1:18">
      <c r="A5" s="3" t="s">
        <v>702</v>
      </c>
      <c r="B5" s="154">
        <v>2740000000</v>
      </c>
      <c r="C5" s="155">
        <v>0.28123399999999998</v>
      </c>
      <c r="D5" s="155">
        <v>2.5999999999999998E-5</v>
      </c>
      <c r="E5" s="155">
        <v>1.4671940000000001</v>
      </c>
      <c r="F5" s="155">
        <v>3.8000000000000002E-5</v>
      </c>
      <c r="G5" s="155">
        <v>1.668E-3</v>
      </c>
      <c r="H5" s="155">
        <v>7.3999999999999996E-5</v>
      </c>
      <c r="I5" s="94">
        <v>4.82E-2</v>
      </c>
      <c r="J5" s="94">
        <v>3.8999999999999998E-3</v>
      </c>
      <c r="K5" s="96">
        <v>-54.847322170554769</v>
      </c>
      <c r="L5" s="96">
        <v>4.4484274138945068</v>
      </c>
      <c r="M5" s="96">
        <v>0.92449703805372041</v>
      </c>
      <c r="N5" s="155">
        <v>0.28114645192091853</v>
      </c>
      <c r="O5" s="99">
        <v>2864.9239577942699</v>
      </c>
      <c r="P5" s="99">
        <v>2936.0985819529537</v>
      </c>
      <c r="Q5" s="96">
        <v>-0.94975903614457835</v>
      </c>
    </row>
    <row r="6" spans="1:18">
      <c r="A6" s="3" t="s">
        <v>703</v>
      </c>
      <c r="B6" s="154">
        <v>2740000000</v>
      </c>
      <c r="C6" s="155">
        <v>0.28128700000000001</v>
      </c>
      <c r="D6" s="155">
        <v>2.9E-5</v>
      </c>
      <c r="E6" s="155">
        <v>1.4672080000000001</v>
      </c>
      <c r="F6" s="155">
        <v>4.3999999999999999E-5</v>
      </c>
      <c r="G6" s="155">
        <v>2.5240000000000002E-3</v>
      </c>
      <c r="H6" s="155">
        <v>2.4000000000000001E-5</v>
      </c>
      <c r="I6" s="94">
        <v>7.6039999999999996E-2</v>
      </c>
      <c r="J6" s="94">
        <v>8.8000000000000003E-4</v>
      </c>
      <c r="K6" s="96">
        <v>-52.973106777233212</v>
      </c>
      <c r="L6" s="96">
        <v>4.7356385796670786</v>
      </c>
      <c r="M6" s="96">
        <v>1.0309754805590021</v>
      </c>
      <c r="N6" s="155">
        <v>0.28115452317050266</v>
      </c>
      <c r="O6" s="99">
        <v>2856.3950947672379</v>
      </c>
      <c r="P6" s="99">
        <v>2918.452582045702</v>
      </c>
      <c r="Q6" s="96">
        <v>-0.92397590361445781</v>
      </c>
    </row>
    <row r="7" spans="1:18">
      <c r="A7" s="3" t="s">
        <v>704</v>
      </c>
      <c r="B7" s="154">
        <v>2740000000</v>
      </c>
      <c r="C7" s="155">
        <v>0.281254</v>
      </c>
      <c r="D7" s="155">
        <v>3.1000000000000001E-5</v>
      </c>
      <c r="E7" s="155">
        <v>1.467141</v>
      </c>
      <c r="F7" s="155">
        <v>3.8999999999999999E-5</v>
      </c>
      <c r="G7" s="155">
        <v>2.0920000000000001E-3</v>
      </c>
      <c r="H7" s="155">
        <v>4.3999999999999999E-5</v>
      </c>
      <c r="I7" s="94">
        <v>6.3299999999999995E-2</v>
      </c>
      <c r="J7" s="94">
        <v>2.5999999999999999E-3</v>
      </c>
      <c r="K7" s="96">
        <v>-54.140071078735417</v>
      </c>
      <c r="L7" s="96">
        <v>4.3682047887649844</v>
      </c>
      <c r="M7" s="96">
        <v>1.1022065463957846</v>
      </c>
      <c r="N7" s="155">
        <v>0.28114419749314246</v>
      </c>
      <c r="O7" s="99">
        <v>2869.5027727175238</v>
      </c>
      <c r="P7" s="99">
        <v>2940.9396013601649</v>
      </c>
      <c r="Q7" s="96">
        <v>-0.93698795180722894</v>
      </c>
    </row>
    <row r="8" spans="1:18">
      <c r="A8" s="3" t="s">
        <v>705</v>
      </c>
      <c r="B8" s="154">
        <v>2740000000</v>
      </c>
      <c r="C8" s="155">
        <v>0.28129500000000002</v>
      </c>
      <c r="D8" s="155">
        <v>2.3E-5</v>
      </c>
      <c r="E8" s="155">
        <v>1.467193</v>
      </c>
      <c r="F8" s="155">
        <v>4.8000000000000001E-5</v>
      </c>
      <c r="G8" s="155">
        <v>2.7230000000000002E-3</v>
      </c>
      <c r="H8" s="155">
        <v>1.2999999999999999E-5</v>
      </c>
      <c r="I8" s="94">
        <v>8.2000000000000003E-2</v>
      </c>
      <c r="J8" s="94">
        <v>1.1000000000000001E-3</v>
      </c>
      <c r="K8" s="96">
        <v>-52.690206340505476</v>
      </c>
      <c r="L8" s="96">
        <v>4.6486386439759109</v>
      </c>
      <c r="M8" s="96">
        <v>0.81764695426509537</v>
      </c>
      <c r="N8" s="155">
        <v>0.28115207828576816</v>
      </c>
      <c r="O8" s="99">
        <v>2860.5109285159847</v>
      </c>
      <c r="P8" s="99">
        <v>2923.7379656694352</v>
      </c>
      <c r="Q8" s="96">
        <v>-0.91798192771084342</v>
      </c>
    </row>
    <row r="9" spans="1:18">
      <c r="A9" s="3" t="s">
        <v>706</v>
      </c>
      <c r="B9" s="154">
        <v>2740000000</v>
      </c>
      <c r="C9" s="155">
        <v>0.28127099999999999</v>
      </c>
      <c r="D9" s="155">
        <v>3.1999999999999999E-5</v>
      </c>
      <c r="E9" s="155">
        <v>1.4671799999999999</v>
      </c>
      <c r="F9" s="155">
        <v>4.3000000000000002E-5</v>
      </c>
      <c r="G9" s="155">
        <v>2.2185999999999998E-3</v>
      </c>
      <c r="H9" s="155">
        <v>9.5000000000000005E-6</v>
      </c>
      <c r="I9" s="94">
        <v>6.5799999999999997E-2</v>
      </c>
      <c r="J9" s="94">
        <v>1.9E-3</v>
      </c>
      <c r="K9" s="96">
        <v>-53.538907650688692</v>
      </c>
      <c r="L9" s="96">
        <v>4.736687838455822</v>
      </c>
      <c r="M9" s="96">
        <v>1.1376928300464677</v>
      </c>
      <c r="N9" s="155">
        <v>0.28115455265692441</v>
      </c>
      <c r="O9" s="99">
        <v>2855.3970013464454</v>
      </c>
      <c r="P9" s="99">
        <v>2918.4284215605248</v>
      </c>
      <c r="Q9" s="96">
        <v>-0.93317469879518078</v>
      </c>
    </row>
    <row r="10" spans="1:18">
      <c r="A10" s="3" t="s">
        <v>707</v>
      </c>
      <c r="B10" s="154">
        <v>2740000000</v>
      </c>
      <c r="C10" s="155">
        <v>0.28122000000000003</v>
      </c>
      <c r="D10" s="155">
        <v>2.0000000000000002E-5</v>
      </c>
      <c r="E10" s="155">
        <v>1.467184</v>
      </c>
      <c r="F10" s="155">
        <v>4.1E-5</v>
      </c>
      <c r="G10" s="155">
        <v>1.253E-3</v>
      </c>
      <c r="H10" s="155">
        <v>1.5999999999999999E-5</v>
      </c>
      <c r="I10" s="94">
        <v>3.7100000000000001E-2</v>
      </c>
      <c r="J10" s="94">
        <v>1E-3</v>
      </c>
      <c r="K10" s="96">
        <v>-55.34239793482665</v>
      </c>
      <c r="L10" s="96">
        <v>4.7253474243724725</v>
      </c>
      <c r="M10" s="96">
        <v>0.71118697105469031</v>
      </c>
      <c r="N10" s="155">
        <v>0.28115423396697303</v>
      </c>
      <c r="O10" s="99">
        <v>2852.912906411691</v>
      </c>
      <c r="P10" s="99">
        <v>2919.246826259619</v>
      </c>
      <c r="Q10" s="96">
        <v>-0.96225903614457831</v>
      </c>
    </row>
    <row r="11" spans="1:18">
      <c r="A11" s="3" t="s">
        <v>708</v>
      </c>
      <c r="B11" s="154">
        <v>2740000000</v>
      </c>
      <c r="C11" s="155">
        <v>0.28128300000000001</v>
      </c>
      <c r="D11" s="155">
        <v>2.6999999999999999E-5</v>
      </c>
      <c r="E11" s="155">
        <v>1.46722</v>
      </c>
      <c r="F11" s="155">
        <v>5.5999999999999999E-5</v>
      </c>
      <c r="G11" s="155">
        <v>2.1589999999999999E-3</v>
      </c>
      <c r="H11" s="155">
        <v>3.0000000000000001E-5</v>
      </c>
      <c r="I11" s="94">
        <v>0.06</v>
      </c>
      <c r="J11" s="94">
        <v>1.1999999999999999E-3</v>
      </c>
      <c r="K11" s="96">
        <v>-53.114556995597084</v>
      </c>
      <c r="L11" s="96">
        <v>5.2750174637661296</v>
      </c>
      <c r="M11" s="96">
        <v>0.95988737321487605</v>
      </c>
      <c r="N11" s="155">
        <v>0.28116968087365896</v>
      </c>
      <c r="O11" s="99">
        <v>2833.9862282614586</v>
      </c>
      <c r="P11" s="99">
        <v>2885.5621751463041</v>
      </c>
      <c r="Q11" s="96">
        <v>-0.93496987951807231</v>
      </c>
    </row>
    <row r="12" spans="1:18">
      <c r="A12" s="3" t="s">
        <v>709</v>
      </c>
      <c r="B12" s="154">
        <v>2740000000</v>
      </c>
      <c r="C12" s="155">
        <v>0.28128399999999998</v>
      </c>
      <c r="D12" s="155">
        <v>2.9E-5</v>
      </c>
      <c r="E12" s="155">
        <v>1.4672160000000001</v>
      </c>
      <c r="F12" s="155">
        <v>3.6000000000000001E-5</v>
      </c>
      <c r="G12" s="155">
        <v>2.6350000000000002E-3</v>
      </c>
      <c r="H12" s="155">
        <v>4.3000000000000002E-5</v>
      </c>
      <c r="I12" s="94">
        <v>8.2400000000000001E-2</v>
      </c>
      <c r="J12" s="94">
        <v>3.0999999999999999E-3</v>
      </c>
      <c r="K12" s="96">
        <v>-53.079194441006948</v>
      </c>
      <c r="L12" s="96">
        <v>4.4215685505455404</v>
      </c>
      <c r="M12" s="96">
        <v>1.0309864763015317</v>
      </c>
      <c r="N12" s="155">
        <v>0.28114569712926879</v>
      </c>
      <c r="O12" s="99">
        <v>2869.2909476022296</v>
      </c>
      <c r="P12" s="99">
        <v>2937.6107154270831</v>
      </c>
      <c r="Q12" s="96">
        <v>-0.92063253012048196</v>
      </c>
    </row>
    <row r="13" spans="1:18">
      <c r="A13" s="3" t="s">
        <v>710</v>
      </c>
      <c r="B13" s="154">
        <v>2740000000</v>
      </c>
      <c r="C13" s="155">
        <v>0.28130100000000002</v>
      </c>
      <c r="D13" s="155">
        <v>2.8E-5</v>
      </c>
      <c r="E13" s="155">
        <v>1.4672149999999999</v>
      </c>
      <c r="F13" s="155">
        <v>4.3000000000000002E-5</v>
      </c>
      <c r="G13" s="155">
        <v>2.9023999999999999E-3</v>
      </c>
      <c r="H13" s="155">
        <v>6.2999999999999998E-6</v>
      </c>
      <c r="I13" s="94">
        <v>8.6900000000000005E-2</v>
      </c>
      <c r="J13" s="94">
        <v>1.2999999999999999E-3</v>
      </c>
      <c r="K13" s="96">
        <v>-52.478031012960223</v>
      </c>
      <c r="L13" s="96">
        <v>4.5270770186633946</v>
      </c>
      <c r="M13" s="96">
        <v>0.99537506087784966</v>
      </c>
      <c r="N13" s="155">
        <v>0.28114866214344969</v>
      </c>
      <c r="O13" s="99">
        <v>2865.9962231964801</v>
      </c>
      <c r="P13" s="99">
        <v>2931.1351936982637</v>
      </c>
      <c r="Q13" s="96">
        <v>-0.91257831325301209</v>
      </c>
    </row>
    <row r="14" spans="1:18">
      <c r="A14" s="3" t="s">
        <v>711</v>
      </c>
      <c r="B14" s="154">
        <v>2740000000</v>
      </c>
      <c r="C14" s="155">
        <v>0.28122799999999998</v>
      </c>
      <c r="D14" s="155">
        <v>2.4000000000000001E-5</v>
      </c>
      <c r="E14" s="155">
        <v>1.467166</v>
      </c>
      <c r="F14" s="155">
        <v>4.0000000000000003E-5</v>
      </c>
      <c r="G14" s="155">
        <v>1.6900000000000001E-3</v>
      </c>
      <c r="H14" s="155">
        <v>1.6000000000000001E-4</v>
      </c>
      <c r="I14" s="94">
        <v>5.1200000000000002E-2</v>
      </c>
      <c r="J14" s="94">
        <v>5.8999999999999999E-3</v>
      </c>
      <c r="K14" s="96">
        <v>-55.059497498100015</v>
      </c>
      <c r="L14" s="96">
        <v>4.193830795389264</v>
      </c>
      <c r="M14" s="96">
        <v>0.85340008818467583</v>
      </c>
      <c r="N14" s="155">
        <v>0.28113929721004338</v>
      </c>
      <c r="O14" s="99">
        <v>2874.9026402435634</v>
      </c>
      <c r="P14" s="99">
        <v>2951.6357232197097</v>
      </c>
      <c r="Q14" s="96">
        <v>-0.94909638554216869</v>
      </c>
    </row>
    <row r="15" spans="1:18">
      <c r="A15" s="3" t="s">
        <v>712</v>
      </c>
      <c r="B15" s="154">
        <v>2740000000</v>
      </c>
      <c r="C15" s="155">
        <v>0.281169</v>
      </c>
      <c r="D15" s="155">
        <v>2.0000000000000002E-5</v>
      </c>
      <c r="E15" s="155">
        <v>1.467168</v>
      </c>
      <c r="F15" s="155">
        <v>3.1999999999999999E-5</v>
      </c>
      <c r="G15" s="155">
        <v>7.1690000000000002E-4</v>
      </c>
      <c r="H15" s="155">
        <v>6.7000000000000002E-6</v>
      </c>
      <c r="I15" s="94">
        <v>2.0449999999999999E-2</v>
      </c>
      <c r="J15" s="94">
        <v>2.4000000000000001E-4</v>
      </c>
      <c r="K15" s="96">
        <v>-57.145888218965709</v>
      </c>
      <c r="L15" s="96">
        <v>3.9118224734502327</v>
      </c>
      <c r="M15" s="96">
        <v>0.71131597011050307</v>
      </c>
      <c r="N15" s="155">
        <v>0.28113137217152667</v>
      </c>
      <c r="O15" s="99">
        <v>2882.1864395733746</v>
      </c>
      <c r="P15" s="99">
        <v>2968.9754624396337</v>
      </c>
      <c r="Q15" s="96">
        <v>-0.97840662650602406</v>
      </c>
    </row>
    <row r="16" spans="1:18">
      <c r="A16" s="34" t="s">
        <v>281</v>
      </c>
      <c r="B16" s="156">
        <f t="shared" ref="B16:Q16" si="0">AVERAGE(B3:B15)</f>
        <v>2740000000</v>
      </c>
      <c r="C16" s="157">
        <f t="shared" si="0"/>
        <v>0.2812559230769231</v>
      </c>
      <c r="D16" s="157">
        <f t="shared" si="0"/>
        <v>2.7461538461538456E-5</v>
      </c>
      <c r="E16" s="157">
        <f t="shared" si="0"/>
        <v>1.4671895384615385</v>
      </c>
      <c r="F16" s="157">
        <f t="shared" si="0"/>
        <v>4.3461538461538469E-5</v>
      </c>
      <c r="G16" s="157">
        <f t="shared" si="0"/>
        <v>2.0372230769230772E-3</v>
      </c>
      <c r="H16" s="157">
        <f t="shared" si="0"/>
        <v>3.5192307692307693E-5</v>
      </c>
      <c r="I16" s="158">
        <f t="shared" si="0"/>
        <v>6.06523076923077E-2</v>
      </c>
      <c r="J16" s="158">
        <f t="shared" si="0"/>
        <v>1.939230769230769E-3</v>
      </c>
      <c r="K16" s="159">
        <f t="shared" si="0"/>
        <v>-54.07206616605994</v>
      </c>
      <c r="L16" s="159">
        <f t="shared" si="0"/>
        <v>4.5389442696165991</v>
      </c>
      <c r="M16" s="159">
        <f t="shared" si="0"/>
        <v>0.9763805033995574</v>
      </c>
      <c r="N16" s="158">
        <f t="shared" si="0"/>
        <v>0.2811489956386467</v>
      </c>
      <c r="O16" s="160">
        <f t="shared" si="0"/>
        <v>2862.5539114520939</v>
      </c>
      <c r="P16" s="160">
        <f t="shared" si="0"/>
        <v>2930.5224262239039</v>
      </c>
      <c r="Q16" s="159">
        <f t="shared" si="0"/>
        <v>-0.93863785912882303</v>
      </c>
    </row>
    <row r="17" spans="1:17" ht="12" customHeight="1">
      <c r="A17" s="34" t="s">
        <v>204</v>
      </c>
      <c r="B17" s="156"/>
      <c r="C17" s="157">
        <f>STDEV(C3:C15)</f>
        <v>3.7021303638271654E-5</v>
      </c>
      <c r="D17" s="157">
        <f t="shared" ref="D17:Q17" si="1">STDEV(D3:D15)</f>
        <v>5.3325319910805451E-6</v>
      </c>
      <c r="E17" s="157">
        <f t="shared" si="1"/>
        <v>2.2783822420802103E-5</v>
      </c>
      <c r="F17" s="157">
        <f t="shared" si="1"/>
        <v>7.0783164737502438E-6</v>
      </c>
      <c r="G17" s="157">
        <f t="shared" si="1"/>
        <v>6.1318193895157271E-4</v>
      </c>
      <c r="H17" s="157">
        <f t="shared" si="1"/>
        <v>4.2147903497454886E-5</v>
      </c>
      <c r="I17" s="157">
        <f t="shared" si="1"/>
        <v>1.8982071872272056E-2</v>
      </c>
      <c r="J17" s="157">
        <f t="shared" si="1"/>
        <v>1.5970830782944133E-3</v>
      </c>
      <c r="K17" s="159">
        <f t="shared" si="1"/>
        <v>1.3091678709364989</v>
      </c>
      <c r="L17" s="159">
        <f t="shared" si="1"/>
        <v>0.33399207115807977</v>
      </c>
      <c r="M17" s="159">
        <f t="shared" si="1"/>
        <v>0.18955981712809658</v>
      </c>
      <c r="N17" s="157">
        <f t="shared" si="1"/>
        <v>9.385893331059819E-6</v>
      </c>
      <c r="O17" s="160">
        <f t="shared" si="1"/>
        <v>12.345185146715522</v>
      </c>
      <c r="P17" s="160">
        <f t="shared" si="1"/>
        <v>20.423057408763714</v>
      </c>
      <c r="Q17" s="159">
        <f t="shared" si="1"/>
        <v>1.8469335510589522E-2</v>
      </c>
    </row>
    <row r="18" spans="1:17">
      <c r="B18" s="154"/>
      <c r="C18" s="155"/>
      <c r="D18" s="155"/>
      <c r="E18" s="155"/>
      <c r="F18" s="155"/>
      <c r="G18" s="155"/>
      <c r="H18" s="155"/>
      <c r="I18" s="94"/>
      <c r="J18" s="94"/>
      <c r="N18" s="155"/>
      <c r="Q18" s="96"/>
    </row>
    <row r="19" spans="1:17">
      <c r="A19" s="3" t="s">
        <v>713</v>
      </c>
      <c r="B19" s="154">
        <v>2740000000</v>
      </c>
      <c r="C19" s="155">
        <v>0.28124100000000002</v>
      </c>
      <c r="D19" s="155">
        <v>2.5999999999999998E-5</v>
      </c>
      <c r="E19" s="155">
        <v>1.467163</v>
      </c>
      <c r="F19" s="155">
        <v>4.1E-5</v>
      </c>
      <c r="G19" s="155">
        <v>1.9040000000000001E-3</v>
      </c>
      <c r="H19" s="155">
        <v>5.0000000000000002E-5</v>
      </c>
      <c r="I19" s="94">
        <v>5.457E-2</v>
      </c>
      <c r="J19" s="94">
        <v>8.0000000000000004E-4</v>
      </c>
      <c r="K19" s="96">
        <v>-54.599784288417162</v>
      </c>
      <c r="L19" s="96">
        <v>4.2567374684954196</v>
      </c>
      <c r="M19" s="96">
        <v>0.92447402761332798</v>
      </c>
      <c r="N19" s="155">
        <v>0.28114106502243941</v>
      </c>
      <c r="O19" s="99">
        <v>2870.1359105078118</v>
      </c>
      <c r="P19" s="99">
        <v>2942.9675294826111</v>
      </c>
      <c r="Q19" s="96">
        <v>-0.9426506024096386</v>
      </c>
    </row>
    <row r="20" spans="1:17">
      <c r="A20" s="3" t="s">
        <v>714</v>
      </c>
      <c r="B20" s="154">
        <v>2740000000</v>
      </c>
      <c r="C20" s="155">
        <v>0.28122900000000001</v>
      </c>
      <c r="D20" s="155">
        <v>2.3E-5</v>
      </c>
      <c r="E20" s="155">
        <v>1.46712</v>
      </c>
      <c r="F20" s="155">
        <v>6.4999999999999994E-5</v>
      </c>
      <c r="G20" s="155">
        <v>1.5590000000000001E-3</v>
      </c>
      <c r="H20" s="155">
        <v>3.4E-5</v>
      </c>
      <c r="I20" s="94">
        <v>4.7300000000000002E-2</v>
      </c>
      <c r="J20" s="94">
        <v>2.5000000000000001E-3</v>
      </c>
      <c r="K20" s="96">
        <v>-55.02413494350877</v>
      </c>
      <c r="L20" s="96">
        <v>4.474086221775142</v>
      </c>
      <c r="M20" s="96">
        <v>0.81783884307806087</v>
      </c>
      <c r="N20" s="155">
        <v>0.2811471729884365</v>
      </c>
      <c r="O20" s="99">
        <v>2860.501017776091</v>
      </c>
      <c r="P20" s="99">
        <v>2929.7170083713236</v>
      </c>
      <c r="Q20" s="96">
        <v>-0.95304216867469882</v>
      </c>
    </row>
    <row r="21" spans="1:17">
      <c r="A21" s="3" t="s">
        <v>715</v>
      </c>
      <c r="B21" s="154">
        <v>2740000000</v>
      </c>
      <c r="C21" s="155">
        <v>0.28125699999999998</v>
      </c>
      <c r="D21" s="155">
        <v>2.5999999999999998E-5</v>
      </c>
      <c r="E21" s="155">
        <v>1.4671989999999999</v>
      </c>
      <c r="F21" s="155">
        <v>3.8000000000000002E-5</v>
      </c>
      <c r="G21" s="155">
        <v>2.2390000000000001E-3</v>
      </c>
      <c r="H21" s="155">
        <v>1.9000000000000001E-5</v>
      </c>
      <c r="I21" s="94">
        <v>6.3799999999999996E-2</v>
      </c>
      <c r="J21" s="94">
        <v>1.2999999999999999E-3</v>
      </c>
      <c r="K21" s="96">
        <v>-54.03398341496279</v>
      </c>
      <c r="L21" s="96">
        <v>4.2004037806231409</v>
      </c>
      <c r="M21" s="96">
        <v>0.92442143662202192</v>
      </c>
      <c r="N21" s="155">
        <v>0.28113948192502197</v>
      </c>
      <c r="O21" s="99">
        <v>2873.5624801544009</v>
      </c>
      <c r="P21" s="99">
        <v>2946.3996942249269</v>
      </c>
      <c r="Q21" s="96">
        <v>-0.93256024096385537</v>
      </c>
    </row>
    <row r="22" spans="1:17">
      <c r="A22" s="3" t="s">
        <v>716</v>
      </c>
      <c r="B22" s="154">
        <v>2740000000</v>
      </c>
      <c r="C22" s="155">
        <v>0.28119</v>
      </c>
      <c r="D22" s="155">
        <v>2.0999999999999999E-5</v>
      </c>
      <c r="E22" s="155">
        <v>1.467236</v>
      </c>
      <c r="F22" s="155">
        <v>3.4999999999999997E-5</v>
      </c>
      <c r="G22" s="155">
        <v>7.5750000000000004E-4</v>
      </c>
      <c r="H22" s="155">
        <v>9.5999999999999996E-6</v>
      </c>
      <c r="I22" s="94">
        <v>2.087E-2</v>
      </c>
      <c r="J22" s="94">
        <v>4.6000000000000001E-4</v>
      </c>
      <c r="K22" s="96">
        <v>-56.403274572555119</v>
      </c>
      <c r="L22" s="96">
        <v>4.5832670956524879</v>
      </c>
      <c r="M22" s="96">
        <v>0.74682598954443602</v>
      </c>
      <c r="N22" s="155">
        <v>0.28115024120509341</v>
      </c>
      <c r="O22" s="99">
        <v>2853.7989709482304</v>
      </c>
      <c r="P22" s="99">
        <v>2923.0631523042207</v>
      </c>
      <c r="Q22" s="96">
        <v>-0.97718373493975907</v>
      </c>
    </row>
    <row r="23" spans="1:17">
      <c r="A23" s="3" t="s">
        <v>717</v>
      </c>
      <c r="B23" s="154">
        <v>2740000000</v>
      </c>
      <c r="C23" s="155">
        <v>0.28123399999999998</v>
      </c>
      <c r="D23" s="155">
        <v>2.3E-5</v>
      </c>
      <c r="E23" s="155">
        <v>1.467174</v>
      </c>
      <c r="F23" s="155">
        <v>3.1000000000000001E-5</v>
      </c>
      <c r="G23" s="155">
        <v>1.7600000000000001E-3</v>
      </c>
      <c r="H23" s="155">
        <v>7.2999999999999999E-5</v>
      </c>
      <c r="I23" s="94">
        <v>5.0700000000000002E-2</v>
      </c>
      <c r="J23" s="94">
        <v>2.8999999999999998E-3</v>
      </c>
      <c r="K23" s="96">
        <v>-54.847322170554769</v>
      </c>
      <c r="L23" s="96">
        <v>4.2765974316139044</v>
      </c>
      <c r="M23" s="96">
        <v>0.8178243028936758</v>
      </c>
      <c r="N23" s="155">
        <v>0.28114162312998597</v>
      </c>
      <c r="O23" s="99">
        <v>2868.8517678854182</v>
      </c>
      <c r="P23" s="99">
        <v>2941.7576399710138</v>
      </c>
      <c r="Q23" s="96">
        <v>-0.94698795180722894</v>
      </c>
    </row>
    <row r="24" spans="1:17">
      <c r="A24" s="3" t="s">
        <v>718</v>
      </c>
      <c r="B24" s="154">
        <v>2740000000</v>
      </c>
      <c r="C24" s="155">
        <v>0.28118500000000002</v>
      </c>
      <c r="D24" s="155">
        <v>2.5999999999999998E-5</v>
      </c>
      <c r="E24" s="155">
        <v>1.467177</v>
      </c>
      <c r="F24" s="155">
        <v>4.3000000000000002E-5</v>
      </c>
      <c r="G24" s="155">
        <v>9.1600000000000004E-4</v>
      </c>
      <c r="H24" s="155">
        <v>1.2E-5</v>
      </c>
      <c r="I24" s="94">
        <v>2.546E-2</v>
      </c>
      <c r="J24" s="94">
        <v>8.0999999999999996E-4</v>
      </c>
      <c r="K24" s="96">
        <v>-56.580087345509121</v>
      </c>
      <c r="L24" s="96">
        <v>4.1093115528822999</v>
      </c>
      <c r="M24" s="96">
        <v>0.92465814321532069</v>
      </c>
      <c r="N24" s="155">
        <v>0.28113692203810636</v>
      </c>
      <c r="O24" s="99">
        <v>2872.321059580338</v>
      </c>
      <c r="P24" s="99">
        <v>2951.9625041585209</v>
      </c>
      <c r="Q24" s="96">
        <v>-0.97240963855421692</v>
      </c>
    </row>
    <row r="25" spans="1:17">
      <c r="A25" s="3" t="s">
        <v>719</v>
      </c>
      <c r="B25" s="154">
        <v>2740000000</v>
      </c>
      <c r="C25" s="155">
        <v>0.28125499999999998</v>
      </c>
      <c r="D25" s="155">
        <v>2.4000000000000001E-5</v>
      </c>
      <c r="E25" s="155">
        <v>1.467184</v>
      </c>
      <c r="F25" s="155">
        <v>3.6999999999999998E-5</v>
      </c>
      <c r="G25" s="155">
        <v>2.1919999999999999E-3</v>
      </c>
      <c r="H25" s="155">
        <v>5.3999999999999998E-5</v>
      </c>
      <c r="I25" s="94">
        <v>6.4699999999999994E-2</v>
      </c>
      <c r="J25" s="94">
        <v>2.8E-3</v>
      </c>
      <c r="K25" s="96">
        <v>-54.104708524145281</v>
      </c>
      <c r="L25" s="96">
        <v>4.2170175422495682</v>
      </c>
      <c r="M25" s="96">
        <v>0.85331816323265375</v>
      </c>
      <c r="N25" s="155">
        <v>0.28113994880734616</v>
      </c>
      <c r="O25" s="99">
        <v>2872.7347439275077</v>
      </c>
      <c r="P25" s="99">
        <v>2945.3871627404787</v>
      </c>
      <c r="Q25" s="96">
        <v>-0.93397590361445781</v>
      </c>
    </row>
    <row r="26" spans="1:17">
      <c r="A26" s="3" t="s">
        <v>720</v>
      </c>
      <c r="B26" s="154">
        <v>2740000000</v>
      </c>
      <c r="C26" s="155">
        <v>0.28126299999999999</v>
      </c>
      <c r="D26" s="155">
        <v>2.3E-5</v>
      </c>
      <c r="E26" s="155">
        <v>1.467209</v>
      </c>
      <c r="F26" s="155">
        <v>4.1E-5</v>
      </c>
      <c r="G26" s="155">
        <v>1.9380000000000001E-3</v>
      </c>
      <c r="H26" s="155">
        <v>1.2E-5</v>
      </c>
      <c r="I26" s="94">
        <v>5.6000000000000001E-2</v>
      </c>
      <c r="J26" s="94">
        <v>1.5E-3</v>
      </c>
      <c r="K26" s="96">
        <v>-53.821808087417544</v>
      </c>
      <c r="L26" s="96">
        <v>4.9760934975640048</v>
      </c>
      <c r="M26" s="96">
        <v>0.81773998001870141</v>
      </c>
      <c r="N26" s="155">
        <v>0.28116128046926869</v>
      </c>
      <c r="O26" s="99">
        <v>2842.1031296106512</v>
      </c>
      <c r="P26" s="99">
        <v>2899.0976201651097</v>
      </c>
      <c r="Q26" s="96">
        <v>-0.94162650602409637</v>
      </c>
    </row>
    <row r="27" spans="1:17">
      <c r="A27" s="3" t="s">
        <v>721</v>
      </c>
      <c r="B27" s="154">
        <v>2740000000</v>
      </c>
      <c r="C27" s="155">
        <v>0.281171</v>
      </c>
      <c r="D27" s="155">
        <v>2.1999999999999999E-5</v>
      </c>
      <c r="E27" s="155">
        <v>1.4671529999999999</v>
      </c>
      <c r="F27" s="155">
        <v>4.1999999999999998E-5</v>
      </c>
      <c r="G27" s="155">
        <v>9.0189999999999997E-4</v>
      </c>
      <c r="H27" s="155">
        <v>4.6999999999999999E-6</v>
      </c>
      <c r="I27" s="94">
        <v>2.5389999999999999E-2</v>
      </c>
      <c r="J27" s="94">
        <v>3.6999999999999999E-4</v>
      </c>
      <c r="K27" s="96">
        <v>-57.075163109783219</v>
      </c>
      <c r="L27" s="96">
        <v>3.6374637384062325</v>
      </c>
      <c r="M27" s="96">
        <v>0.78244200148663978</v>
      </c>
      <c r="N27" s="155">
        <v>0.28112366210280365</v>
      </c>
      <c r="O27" s="99">
        <v>2890.2197716148007</v>
      </c>
      <c r="P27" s="99">
        <v>2980.7246161533744</v>
      </c>
      <c r="Q27" s="96">
        <v>-0.97283433734939762</v>
      </c>
    </row>
    <row r="28" spans="1:17">
      <c r="A28" s="3" t="s">
        <v>722</v>
      </c>
      <c r="B28" s="154">
        <v>2740000000</v>
      </c>
      <c r="C28" s="155">
        <v>0.28117199999999998</v>
      </c>
      <c r="D28" s="155">
        <v>2.0999999999999999E-5</v>
      </c>
      <c r="E28" s="155">
        <v>1.467166</v>
      </c>
      <c r="F28" s="155">
        <v>3.1000000000000001E-5</v>
      </c>
      <c r="G28" s="155">
        <v>8.5599999999999999E-4</v>
      </c>
      <c r="H28" s="155">
        <v>8.1999999999999994E-6</v>
      </c>
      <c r="I28" s="94">
        <v>2.359E-2</v>
      </c>
      <c r="J28" s="94">
        <v>2.1000000000000001E-4</v>
      </c>
      <c r="K28" s="96">
        <v>-57.039800555193089</v>
      </c>
      <c r="L28" s="96">
        <v>3.7587764311797223</v>
      </c>
      <c r="M28" s="96">
        <v>0.74687379966710776</v>
      </c>
      <c r="N28" s="155">
        <v>0.28112707124958408</v>
      </c>
      <c r="O28" s="99">
        <v>2885.4280160695735</v>
      </c>
      <c r="P28" s="99">
        <v>2973.3311724494047</v>
      </c>
      <c r="Q28" s="96">
        <v>-0.97421686746987957</v>
      </c>
    </row>
    <row r="29" spans="1:17">
      <c r="A29" s="3" t="s">
        <v>723</v>
      </c>
      <c r="B29" s="154">
        <v>2740000000</v>
      </c>
      <c r="C29" s="155">
        <v>0.28123500000000001</v>
      </c>
      <c r="D29" s="155">
        <v>2.0999999999999999E-5</v>
      </c>
      <c r="E29" s="155">
        <v>1.467149</v>
      </c>
      <c r="F29" s="155">
        <v>4.3999999999999999E-5</v>
      </c>
      <c r="G29" s="155">
        <v>1.92E-3</v>
      </c>
      <c r="H29" s="155">
        <v>1.1E-4</v>
      </c>
      <c r="I29" s="94">
        <v>5.5100000000000003E-2</v>
      </c>
      <c r="J29" s="94">
        <v>3.8E-3</v>
      </c>
      <c r="K29" s="96">
        <v>-54.811959615962415</v>
      </c>
      <c r="L29" s="96">
        <v>4.0133471531822451</v>
      </c>
      <c r="M29" s="96">
        <v>0.74670649101285391</v>
      </c>
      <c r="N29" s="155">
        <v>0.28113422523271203</v>
      </c>
      <c r="O29" s="99">
        <v>2879.7106333091615</v>
      </c>
      <c r="P29" s="99">
        <v>2957.8052950050519</v>
      </c>
      <c r="Q29" s="96">
        <v>-0.94216867469879517</v>
      </c>
    </row>
    <row r="30" spans="1:17">
      <c r="A30" s="34" t="s">
        <v>281</v>
      </c>
      <c r="B30" s="156">
        <f t="shared" ref="B30:Q30" si="2">AVERAGE(B19:B29)</f>
        <v>2740000000</v>
      </c>
      <c r="C30" s="157">
        <f t="shared" si="2"/>
        <v>0.28122109090909092</v>
      </c>
      <c r="D30" s="157">
        <f t="shared" si="2"/>
        <v>2.3272727272727271E-5</v>
      </c>
      <c r="E30" s="157">
        <f t="shared" si="2"/>
        <v>1.4671754545454545</v>
      </c>
      <c r="F30" s="157">
        <f t="shared" si="2"/>
        <v>4.072727272727273E-5</v>
      </c>
      <c r="G30" s="157">
        <f t="shared" si="2"/>
        <v>1.5403090909090914E-3</v>
      </c>
      <c r="H30" s="157">
        <f t="shared" si="2"/>
        <v>3.5136363636363639E-5</v>
      </c>
      <c r="I30" s="158">
        <f t="shared" si="2"/>
        <v>4.4316363636363633E-2</v>
      </c>
      <c r="J30" s="158">
        <f t="shared" si="2"/>
        <v>1.5863636363636364E-3</v>
      </c>
      <c r="K30" s="159">
        <f t="shared" si="2"/>
        <v>-55.303820602546303</v>
      </c>
      <c r="L30" s="159">
        <f t="shared" si="2"/>
        <v>4.2275547194203789</v>
      </c>
      <c r="M30" s="159">
        <f t="shared" si="2"/>
        <v>0.8275566525804362</v>
      </c>
      <c r="N30" s="158">
        <f t="shared" si="2"/>
        <v>0.28114024492461803</v>
      </c>
      <c r="O30" s="160">
        <f t="shared" si="2"/>
        <v>2869.9425001258169</v>
      </c>
      <c r="P30" s="160">
        <f t="shared" si="2"/>
        <v>2944.7466722750942</v>
      </c>
      <c r="Q30" s="159">
        <f t="shared" si="2"/>
        <v>-0.95360514786418404</v>
      </c>
    </row>
    <row r="31" spans="1:17">
      <c r="A31" s="34" t="s">
        <v>204</v>
      </c>
      <c r="B31" s="156"/>
      <c r="C31" s="157">
        <f>STDEV(C19:C29)</f>
        <v>3.4932662496446445E-5</v>
      </c>
      <c r="D31" s="157">
        <f t="shared" ref="D31:Q31" si="3">STDEV(D19:D29)</f>
        <v>2.0045403009622469E-6</v>
      </c>
      <c r="E31" s="157">
        <f t="shared" si="3"/>
        <v>3.153843254305058E-5</v>
      </c>
      <c r="F31" s="157">
        <f t="shared" si="3"/>
        <v>9.2205304521042486E-6</v>
      </c>
      <c r="G31" s="157">
        <f t="shared" si="3"/>
        <v>5.7223026913043578E-4</v>
      </c>
      <c r="H31" s="157">
        <f t="shared" si="3"/>
        <v>3.354293585025833E-5</v>
      </c>
      <c r="I31" s="157">
        <f t="shared" si="3"/>
        <v>1.7016969925769551E-2</v>
      </c>
      <c r="J31" s="157">
        <f t="shared" si="3"/>
        <v>1.2201087879961585E-3</v>
      </c>
      <c r="K31" s="159">
        <f t="shared" si="3"/>
        <v>1.2353081845373759</v>
      </c>
      <c r="L31" s="159">
        <f t="shared" si="3"/>
        <v>0.37142309862912554</v>
      </c>
      <c r="M31" s="159">
        <f t="shared" si="3"/>
        <v>7.1241058017627312E-2</v>
      </c>
      <c r="N31" s="157">
        <f t="shared" si="3"/>
        <v>1.0437785461008967E-5</v>
      </c>
      <c r="O31" s="160">
        <f t="shared" si="3"/>
        <v>13.780263325671726</v>
      </c>
      <c r="P31" s="160">
        <f t="shared" si="3"/>
        <v>22.647794859585115</v>
      </c>
      <c r="Q31" s="159">
        <f t="shared" si="3"/>
        <v>1.7235851479832427E-2</v>
      </c>
    </row>
    <row r="32" spans="1:17">
      <c r="A32" s="34"/>
      <c r="B32" s="161"/>
      <c r="C32" s="157"/>
      <c r="D32" s="155"/>
      <c r="E32" s="155"/>
      <c r="F32" s="155"/>
      <c r="G32" s="155"/>
      <c r="H32" s="155"/>
      <c r="I32" s="94"/>
      <c r="J32" s="94"/>
      <c r="N32" s="155"/>
      <c r="Q32" s="96"/>
    </row>
    <row r="33" spans="1:17">
      <c r="A33" s="111" t="s">
        <v>724</v>
      </c>
      <c r="B33" s="162">
        <v>2740000000</v>
      </c>
      <c r="C33" s="163">
        <v>0.28119699999999997</v>
      </c>
      <c r="D33" s="163">
        <v>4.3999999999999999E-5</v>
      </c>
      <c r="E33" s="163">
        <v>1.46736</v>
      </c>
      <c r="F33" s="163">
        <v>1.1E-4</v>
      </c>
      <c r="G33" s="163">
        <v>1.2830000000000001E-3</v>
      </c>
      <c r="H33" s="163">
        <v>3.6000000000000001E-5</v>
      </c>
      <c r="I33" s="114">
        <v>3.44E-2</v>
      </c>
      <c r="J33" s="114">
        <v>1.6999999999999999E-3</v>
      </c>
      <c r="K33" s="116">
        <v>-56.155736690419729</v>
      </c>
      <c r="L33" s="116">
        <v>3.8508730212294395</v>
      </c>
      <c r="M33" s="116">
        <v>1.5647393108745826</v>
      </c>
      <c r="N33" s="163">
        <v>0.28112965936123407</v>
      </c>
      <c r="Q33" s="96"/>
    </row>
    <row r="34" spans="1:17">
      <c r="B34" s="154"/>
      <c r="C34" s="155"/>
      <c r="D34" s="155"/>
      <c r="E34" s="155"/>
      <c r="F34" s="155"/>
      <c r="G34" s="155"/>
      <c r="H34" s="155"/>
      <c r="I34" s="94"/>
      <c r="J34" s="94"/>
      <c r="N34" s="155"/>
      <c r="Q34" s="96"/>
    </row>
    <row r="35" spans="1:17">
      <c r="A35" s="34"/>
      <c r="B35" s="161"/>
      <c r="C35" s="157"/>
      <c r="D35" s="155"/>
      <c r="E35" s="155"/>
      <c r="F35" s="155"/>
      <c r="G35" s="155"/>
      <c r="H35" s="155"/>
      <c r="I35" s="94"/>
      <c r="J35" s="94"/>
      <c r="N35" s="155"/>
      <c r="Q35" s="96"/>
    </row>
    <row r="36" spans="1:17">
      <c r="A36" s="34"/>
      <c r="B36" s="161"/>
      <c r="C36" s="157"/>
      <c r="D36" s="155"/>
      <c r="E36" s="155"/>
      <c r="F36" s="155"/>
      <c r="G36" s="155"/>
      <c r="H36" s="155"/>
      <c r="I36" s="94"/>
      <c r="J36" s="94"/>
      <c r="N36" s="155"/>
      <c r="Q36" s="96"/>
    </row>
    <row r="37" spans="1:17">
      <c r="A37" s="3" t="s">
        <v>725</v>
      </c>
      <c r="B37" s="154">
        <v>2700000000</v>
      </c>
      <c r="C37" s="155">
        <v>0.28121200000000002</v>
      </c>
      <c r="D37" s="155">
        <v>2.1999999999999999E-5</v>
      </c>
      <c r="E37" s="155">
        <v>1.4671989999999999</v>
      </c>
      <c r="F37" s="155">
        <v>3.6999999999999998E-5</v>
      </c>
      <c r="G37" s="155">
        <v>9.3599999999999998E-4</v>
      </c>
      <c r="H37" s="155">
        <v>1.5E-5</v>
      </c>
      <c r="I37" s="94">
        <v>2.5739999999999999E-2</v>
      </c>
      <c r="J37" s="94">
        <v>7.9000000000000001E-4</v>
      </c>
      <c r="K37" s="96">
        <v>-55.625298371554386</v>
      </c>
      <c r="L37" s="96">
        <v>4.1191030015452768</v>
      </c>
      <c r="M37" s="96">
        <v>0.78232792341720836</v>
      </c>
      <c r="N37" s="155">
        <v>0.28116360771967325</v>
      </c>
      <c r="O37" s="99">
        <v>2837.2164785980131</v>
      </c>
      <c r="P37" s="99">
        <v>2919.6871006066649</v>
      </c>
      <c r="Q37" s="96">
        <v>-0.97180722891566262</v>
      </c>
    </row>
    <row r="38" spans="1:17">
      <c r="A38" s="3" t="s">
        <v>726</v>
      </c>
      <c r="B38" s="154">
        <v>2700000000</v>
      </c>
      <c r="C38" s="155">
        <v>0.28124100000000002</v>
      </c>
      <c r="D38" s="155">
        <v>2.0000000000000002E-5</v>
      </c>
      <c r="E38" s="155">
        <v>1.4671749999999999</v>
      </c>
      <c r="F38" s="155">
        <v>2.9E-5</v>
      </c>
      <c r="G38" s="155">
        <v>1.4940000000000001E-3</v>
      </c>
      <c r="H38" s="155">
        <v>3.3000000000000003E-5</v>
      </c>
      <c r="I38" s="94">
        <v>4.181E-2</v>
      </c>
      <c r="J38" s="94">
        <v>9.5E-4</v>
      </c>
      <c r="K38" s="96">
        <v>-54.599784288417162</v>
      </c>
      <c r="L38" s="96">
        <v>4.1244670690443463</v>
      </c>
      <c r="M38" s="96">
        <v>0.71113386739486772</v>
      </c>
      <c r="N38" s="155">
        <v>0.2811637584756323</v>
      </c>
      <c r="O38" s="99">
        <v>2839.0809296767443</v>
      </c>
      <c r="P38" s="99">
        <v>2919.3555893440139</v>
      </c>
      <c r="Q38" s="96">
        <v>-0.95499999999999996</v>
      </c>
    </row>
    <row r="39" spans="1:17">
      <c r="A39" s="3" t="s">
        <v>727</v>
      </c>
      <c r="B39" s="154">
        <v>2700000000</v>
      </c>
      <c r="C39" s="155">
        <v>0.28128900000000001</v>
      </c>
      <c r="D39" s="155">
        <v>2.5999999999999998E-5</v>
      </c>
      <c r="E39" s="155">
        <v>1.467157</v>
      </c>
      <c r="F39" s="155">
        <v>3.4999999999999997E-5</v>
      </c>
      <c r="G39" s="155">
        <v>2.1189999999999998E-3</v>
      </c>
      <c r="H39" s="155">
        <v>1.2999999999999999E-5</v>
      </c>
      <c r="I39" s="94">
        <v>5.96E-2</v>
      </c>
      <c r="J39" s="94">
        <v>1.1000000000000001E-3</v>
      </c>
      <c r="K39" s="96">
        <v>-52.902381668051831</v>
      </c>
      <c r="L39" s="96">
        <v>4.6826203912653241</v>
      </c>
      <c r="M39" s="96">
        <v>0.92431627258797877</v>
      </c>
      <c r="N39" s="155">
        <v>0.28117944525426025</v>
      </c>
      <c r="O39" s="99">
        <v>2819.5072205615802</v>
      </c>
      <c r="P39" s="99">
        <v>2885.2923704784057</v>
      </c>
      <c r="Q39" s="96">
        <v>-0.93617469879518067</v>
      </c>
    </row>
    <row r="40" spans="1:17">
      <c r="A40" s="3" t="s">
        <v>728</v>
      </c>
      <c r="B40" s="154">
        <v>2700000000</v>
      </c>
      <c r="C40" s="155">
        <v>0.281308</v>
      </c>
      <c r="D40" s="155">
        <v>3.1000000000000001E-5</v>
      </c>
      <c r="E40" s="155">
        <v>1.46719</v>
      </c>
      <c r="F40" s="155">
        <v>3.4999999999999997E-5</v>
      </c>
      <c r="G40" s="155">
        <v>2.5699999999999998E-3</v>
      </c>
      <c r="H40" s="155">
        <v>1.9000000000000001E-4</v>
      </c>
      <c r="I40" s="94">
        <v>7.3700000000000002E-2</v>
      </c>
      <c r="J40" s="94">
        <v>5.0000000000000001E-3</v>
      </c>
      <c r="K40" s="96">
        <v>-52.230493130823731</v>
      </c>
      <c r="L40" s="96">
        <v>4.5290088024563246</v>
      </c>
      <c r="M40" s="96">
        <v>1.1019949663713795</v>
      </c>
      <c r="N40" s="155">
        <v>0.28117512803371814</v>
      </c>
      <c r="O40" s="99">
        <v>2827.1320880535818</v>
      </c>
      <c r="P40" s="99">
        <v>2894.6642185880273</v>
      </c>
      <c r="Q40" s="96">
        <v>-0.9225903614457831</v>
      </c>
    </row>
    <row r="41" spans="1:17">
      <c r="A41" s="3" t="s">
        <v>729</v>
      </c>
      <c r="B41" s="154">
        <v>2700000000</v>
      </c>
      <c r="C41" s="155">
        <v>0.281246</v>
      </c>
      <c r="D41" s="155">
        <v>2.0999999999999999E-5</v>
      </c>
      <c r="E41" s="155">
        <v>1.467182</v>
      </c>
      <c r="F41" s="155">
        <v>3.3000000000000003E-5</v>
      </c>
      <c r="G41" s="155">
        <v>1.8730000000000001E-3</v>
      </c>
      <c r="H41" s="155">
        <v>3.4999999999999997E-5</v>
      </c>
      <c r="I41" s="94">
        <v>5.3900000000000003E-2</v>
      </c>
      <c r="J41" s="94">
        <v>1.8E-3</v>
      </c>
      <c r="K41" s="96">
        <v>-54.422971515463161</v>
      </c>
      <c r="L41" s="96">
        <v>3.6051698071704052</v>
      </c>
      <c r="M41" s="96">
        <v>0.74667728607695749</v>
      </c>
      <c r="N41" s="155">
        <v>0.28114916373819226</v>
      </c>
      <c r="O41" s="99">
        <v>2860.8140840979677</v>
      </c>
      <c r="P41" s="99">
        <v>2951.0280363182251</v>
      </c>
      <c r="Q41" s="96">
        <v>-0.94358433734939762</v>
      </c>
    </row>
    <row r="42" spans="1:17">
      <c r="A42" s="3" t="s">
        <v>730</v>
      </c>
      <c r="B42" s="154">
        <v>2700000000</v>
      </c>
      <c r="C42" s="155">
        <v>0.28127200000000002</v>
      </c>
      <c r="D42" s="155">
        <v>2.5000000000000001E-5</v>
      </c>
      <c r="E42" s="155">
        <v>1.4671559999999999</v>
      </c>
      <c r="F42" s="155">
        <v>3.8999999999999999E-5</v>
      </c>
      <c r="G42" s="155">
        <v>1.867E-3</v>
      </c>
      <c r="H42" s="155">
        <v>4.8000000000000001E-5</v>
      </c>
      <c r="I42" s="94">
        <v>5.1999999999999998E-2</v>
      </c>
      <c r="J42" s="94">
        <v>2.3E-3</v>
      </c>
      <c r="K42" s="96">
        <v>-53.503545096097447</v>
      </c>
      <c r="L42" s="96">
        <v>4.5413167212005057</v>
      </c>
      <c r="M42" s="96">
        <v>0.88881936346312462</v>
      </c>
      <c r="N42" s="155">
        <v>0.28117547394511744</v>
      </c>
      <c r="O42" s="99">
        <v>2824.2074480079923</v>
      </c>
      <c r="P42" s="99">
        <v>2893.9175511998283</v>
      </c>
      <c r="Q42" s="96">
        <v>-0.94376506024096385</v>
      </c>
    </row>
    <row r="43" spans="1:17">
      <c r="A43" s="3" t="s">
        <v>731</v>
      </c>
      <c r="B43" s="154">
        <v>2700000000</v>
      </c>
      <c r="C43" s="155">
        <v>0.28128700000000001</v>
      </c>
      <c r="D43" s="155">
        <v>2.3E-5</v>
      </c>
      <c r="E43" s="155">
        <v>1.467187</v>
      </c>
      <c r="F43" s="155">
        <v>3.4E-5</v>
      </c>
      <c r="G43" s="155">
        <v>2.1570000000000001E-3</v>
      </c>
      <c r="H43" s="155">
        <v>6.7000000000000002E-5</v>
      </c>
      <c r="I43" s="94">
        <v>6.1899999999999997E-2</v>
      </c>
      <c r="J43" s="94">
        <v>1.1000000000000001E-3</v>
      </c>
      <c r="K43" s="96">
        <v>-52.973106777233212</v>
      </c>
      <c r="L43" s="96">
        <v>4.5415538795201549</v>
      </c>
      <c r="M43" s="96">
        <v>0.81767020871920837</v>
      </c>
      <c r="N43" s="155">
        <v>0.28117548061040082</v>
      </c>
      <c r="O43" s="99">
        <v>2825.1907946397118</v>
      </c>
      <c r="P43" s="99">
        <v>2893.9012807746612</v>
      </c>
      <c r="Q43" s="96">
        <v>-0.93503012048192768</v>
      </c>
    </row>
    <row r="44" spans="1:17">
      <c r="A44" s="3" t="s">
        <v>732</v>
      </c>
      <c r="B44" s="154">
        <v>2700000000</v>
      </c>
      <c r="C44" s="155">
        <v>0.281304</v>
      </c>
      <c r="D44" s="155">
        <v>2.3E-5</v>
      </c>
      <c r="E44" s="155">
        <v>1.4671860000000001</v>
      </c>
      <c r="F44" s="155">
        <v>4.1E-5</v>
      </c>
      <c r="G44" s="155">
        <v>2.284E-3</v>
      </c>
      <c r="H44" s="155">
        <v>4.1999999999999998E-5</v>
      </c>
      <c r="I44" s="94">
        <v>6.5500000000000003E-2</v>
      </c>
      <c r="J44" s="94">
        <v>1E-3</v>
      </c>
      <c r="K44" s="96">
        <v>-52.371943349187603</v>
      </c>
      <c r="L44" s="96">
        <v>4.9128057408354131</v>
      </c>
      <c r="M44" s="96">
        <v>0.81762079458521741</v>
      </c>
      <c r="N44" s="155">
        <v>0.28118591456381797</v>
      </c>
      <c r="O44" s="99">
        <v>2810.9495795181001</v>
      </c>
      <c r="P44" s="99">
        <v>2871.2416672596455</v>
      </c>
      <c r="Q44" s="96">
        <v>-0.93120481927710841</v>
      </c>
    </row>
    <row r="45" spans="1:17">
      <c r="A45" s="3" t="s">
        <v>733</v>
      </c>
      <c r="B45" s="154">
        <v>2700000000</v>
      </c>
      <c r="C45" s="155">
        <v>0.28126499999999999</v>
      </c>
      <c r="D45" s="155">
        <v>2.0999999999999999E-5</v>
      </c>
      <c r="E45" s="155">
        <v>1.467168</v>
      </c>
      <c r="F45" s="155">
        <v>4.0000000000000003E-5</v>
      </c>
      <c r="G45" s="155">
        <v>1.5100000000000001E-3</v>
      </c>
      <c r="H45" s="155">
        <v>9.7E-5</v>
      </c>
      <c r="I45" s="94">
        <v>4.2200000000000001E-2</v>
      </c>
      <c r="J45" s="94">
        <v>2.2000000000000001E-3</v>
      </c>
      <c r="K45" s="96">
        <v>-53.751082978235054</v>
      </c>
      <c r="L45" s="96">
        <v>4.9489808398073265</v>
      </c>
      <c r="M45" s="96">
        <v>0.74662684656818301</v>
      </c>
      <c r="N45" s="155">
        <v>0.28118693125716515</v>
      </c>
      <c r="O45" s="99">
        <v>2807.2232935626353</v>
      </c>
      <c r="P45" s="99">
        <v>2869.0370640822912</v>
      </c>
      <c r="Q45" s="96">
        <v>-0.95451807228915664</v>
      </c>
    </row>
    <row r="46" spans="1:17">
      <c r="A46" s="3" t="s">
        <v>734</v>
      </c>
      <c r="B46" s="154">
        <v>2700000000</v>
      </c>
      <c r="C46" s="155">
        <v>0.28123300000000001</v>
      </c>
      <c r="D46" s="155">
        <v>2.0999999999999999E-5</v>
      </c>
      <c r="E46" s="155">
        <v>1.4671650000000001</v>
      </c>
      <c r="F46" s="155">
        <v>3.8000000000000002E-5</v>
      </c>
      <c r="G46" s="155">
        <v>1.2684E-3</v>
      </c>
      <c r="H46" s="155">
        <v>1.9E-6</v>
      </c>
      <c r="I46" s="94">
        <v>3.5999999999999997E-2</v>
      </c>
      <c r="J46" s="94">
        <v>8.4999999999999995E-4</v>
      </c>
      <c r="K46" s="96">
        <v>-54.882684725144905</v>
      </c>
      <c r="L46" s="96">
        <v>4.2548285182020251</v>
      </c>
      <c r="M46" s="96">
        <v>0.74671180124665304</v>
      </c>
      <c r="N46" s="155">
        <v>0.28116742225601871</v>
      </c>
      <c r="O46" s="99">
        <v>2833.2245741584125</v>
      </c>
      <c r="P46" s="99">
        <v>2911.4034870863466</v>
      </c>
      <c r="Q46" s="96">
        <v>-0.96179518072289161</v>
      </c>
    </row>
    <row r="47" spans="1:17">
      <c r="A47" s="3" t="s">
        <v>735</v>
      </c>
      <c r="B47" s="154">
        <v>2700000000</v>
      </c>
      <c r="C47" s="155">
        <v>0.281225</v>
      </c>
      <c r="D47" s="155">
        <v>2.4000000000000001E-5</v>
      </c>
      <c r="E47" s="155">
        <v>1.4671989999999999</v>
      </c>
      <c r="F47" s="155">
        <v>3.8000000000000002E-5</v>
      </c>
      <c r="G47" s="155">
        <v>9.9099999999999991E-4</v>
      </c>
      <c r="H47" s="155">
        <v>8.3999999999999995E-5</v>
      </c>
      <c r="I47" s="94">
        <v>2.81E-2</v>
      </c>
      <c r="J47" s="94">
        <v>2E-3</v>
      </c>
      <c r="K47" s="96">
        <v>-55.165585161872642</v>
      </c>
      <c r="L47" s="96">
        <v>4.4804804978171298</v>
      </c>
      <c r="M47" s="96">
        <v>0.85340919192817133</v>
      </c>
      <c r="N47" s="155">
        <v>0.2811737641561925</v>
      </c>
      <c r="O47" s="99">
        <v>2823.6245935689458</v>
      </c>
      <c r="P47" s="99">
        <v>2897.6355735393458</v>
      </c>
      <c r="Q47" s="96">
        <v>-0.97015060240963857</v>
      </c>
    </row>
    <row r="48" spans="1:17">
      <c r="A48" s="3" t="s">
        <v>736</v>
      </c>
      <c r="B48" s="154">
        <v>2700000000</v>
      </c>
      <c r="C48" s="155">
        <v>0.28127400000000002</v>
      </c>
      <c r="D48" s="155">
        <v>2.0999999999999999E-5</v>
      </c>
      <c r="E48" s="155">
        <v>1.467163</v>
      </c>
      <c r="F48" s="155">
        <v>3.8000000000000002E-5</v>
      </c>
      <c r="G48" s="155">
        <v>2.2179999999999999E-3</v>
      </c>
      <c r="H48" s="155">
        <v>1.5999999999999999E-5</v>
      </c>
      <c r="I48" s="94">
        <v>5.8599999999999999E-2</v>
      </c>
      <c r="J48" s="94">
        <v>1.2E-4</v>
      </c>
      <c r="K48" s="96">
        <v>-53.432819986914957</v>
      </c>
      <c r="L48" s="96">
        <v>3.9667844617641279</v>
      </c>
      <c r="M48" s="96">
        <v>0.74660295654770792</v>
      </c>
      <c r="N48" s="155">
        <v>0.28115932683999489</v>
      </c>
      <c r="O48" s="99">
        <v>2848.0812376030531</v>
      </c>
      <c r="P48" s="99">
        <v>2928.9690315792163</v>
      </c>
      <c r="Q48" s="96">
        <v>-0.93319277108433729</v>
      </c>
    </row>
    <row r="49" spans="1:17">
      <c r="A49" s="3" t="s">
        <v>737</v>
      </c>
      <c r="B49" s="154">
        <v>2700000000</v>
      </c>
      <c r="C49" s="155">
        <v>0.28125299999999998</v>
      </c>
      <c r="D49" s="155">
        <v>2.0999999999999999E-5</v>
      </c>
      <c r="E49" s="155">
        <v>1.4671749999999999</v>
      </c>
      <c r="F49" s="155">
        <v>3.4999999999999997E-5</v>
      </c>
      <c r="G49" s="155">
        <v>1.691E-3</v>
      </c>
      <c r="H49" s="155">
        <v>2.6999999999999999E-5</v>
      </c>
      <c r="I49" s="94">
        <v>4.8599999999999997E-2</v>
      </c>
      <c r="J49" s="94">
        <v>1.4E-3</v>
      </c>
      <c r="K49" s="96">
        <v>-54.175433633326662</v>
      </c>
      <c r="L49" s="96">
        <v>4.1890422892487678</v>
      </c>
      <c r="M49" s="96">
        <v>0.74665870230717546</v>
      </c>
      <c r="N49" s="155">
        <v>0.28116557334825576</v>
      </c>
      <c r="O49" s="99">
        <v>2837.3149530991909</v>
      </c>
      <c r="P49" s="99">
        <v>2915.4142997144531</v>
      </c>
      <c r="Q49" s="96">
        <v>-0.94906626506024094</v>
      </c>
    </row>
    <row r="50" spans="1:17">
      <c r="A50" s="3" t="s">
        <v>738</v>
      </c>
      <c r="B50" s="154">
        <v>2700000000</v>
      </c>
      <c r="C50" s="155">
        <v>0.28126499999999999</v>
      </c>
      <c r="D50" s="155">
        <v>2.5999999999999998E-5</v>
      </c>
      <c r="E50" s="155">
        <v>1.467171</v>
      </c>
      <c r="F50" s="155">
        <v>3.8999999999999999E-5</v>
      </c>
      <c r="G50" s="155">
        <v>1.908E-3</v>
      </c>
      <c r="H50" s="155">
        <v>6.9999999999999994E-5</v>
      </c>
      <c r="I50" s="94">
        <v>5.4010000000000002E-2</v>
      </c>
      <c r="J50" s="94">
        <v>9.2000000000000003E-4</v>
      </c>
      <c r="K50" s="96">
        <v>-53.751082978235054</v>
      </c>
      <c r="L50" s="96">
        <v>4.2168257988550728</v>
      </c>
      <c r="M50" s="96">
        <v>0.9243951433701314</v>
      </c>
      <c r="N50" s="155">
        <v>0.2811663541977954</v>
      </c>
      <c r="O50" s="99">
        <v>2837.0434760083499</v>
      </c>
      <c r="P50" s="99">
        <v>2913.7175438673808</v>
      </c>
      <c r="Q50" s="96">
        <v>-0.94253012048192775</v>
      </c>
    </row>
    <row r="51" spans="1:17">
      <c r="A51" s="3" t="s">
        <v>739</v>
      </c>
      <c r="B51" s="154">
        <v>2700000000</v>
      </c>
      <c r="C51" s="155">
        <v>0.28123100000000001</v>
      </c>
      <c r="D51" s="155">
        <v>2.1999999999999999E-5</v>
      </c>
      <c r="E51" s="155">
        <v>1.4671730000000001</v>
      </c>
      <c r="F51" s="155">
        <v>3.6000000000000001E-5</v>
      </c>
      <c r="G51" s="155">
        <v>9.2000000000000003E-4</v>
      </c>
      <c r="H51" s="155">
        <v>1.1E-4</v>
      </c>
      <c r="I51" s="94">
        <v>2.53E-2</v>
      </c>
      <c r="J51" s="94">
        <v>3.5999999999999999E-3</v>
      </c>
      <c r="K51" s="96">
        <v>-54.95340983432628</v>
      </c>
      <c r="L51" s="96">
        <v>4.8245778552602481</v>
      </c>
      <c r="M51" s="96">
        <v>0.78227506924912249</v>
      </c>
      <c r="N51" s="155">
        <v>0.28118343493814035</v>
      </c>
      <c r="O51" s="99">
        <v>2810.2784017510176</v>
      </c>
      <c r="P51" s="99">
        <v>2876.6339528900912</v>
      </c>
      <c r="Q51" s="96">
        <v>-0.97228915662650606</v>
      </c>
    </row>
    <row r="52" spans="1:17">
      <c r="A52" s="3" t="s">
        <v>740</v>
      </c>
      <c r="B52" s="154">
        <v>2700000000</v>
      </c>
      <c r="C52" s="155">
        <v>0.28131200000000001</v>
      </c>
      <c r="D52" s="155">
        <v>2.5999999999999998E-5</v>
      </c>
      <c r="E52" s="155">
        <v>1.467157</v>
      </c>
      <c r="F52" s="155">
        <v>4.3000000000000002E-5</v>
      </c>
      <c r="G52" s="155">
        <v>2.826E-3</v>
      </c>
      <c r="H52" s="155">
        <v>4.6999999999999997E-5</v>
      </c>
      <c r="I52" s="94">
        <v>8.3699999999999997E-2</v>
      </c>
      <c r="J52" s="94">
        <v>2.3E-3</v>
      </c>
      <c r="K52" s="96">
        <v>-52.08904291245986</v>
      </c>
      <c r="L52" s="96">
        <v>4.2003994299744107</v>
      </c>
      <c r="M52" s="96">
        <v>0.92424070071664188</v>
      </c>
      <c r="N52" s="155">
        <v>0.28116589253824414</v>
      </c>
      <c r="O52" s="99">
        <v>2841.2344849490787</v>
      </c>
      <c r="P52" s="99">
        <v>2914.7126310930994</v>
      </c>
      <c r="Q52" s="96">
        <v>-0.91487951807228918</v>
      </c>
    </row>
    <row r="53" spans="1:17">
      <c r="A53" s="3" t="s">
        <v>741</v>
      </c>
      <c r="B53" s="154">
        <v>2700000000</v>
      </c>
      <c r="C53" s="155">
        <v>0.28126400000000001</v>
      </c>
      <c r="D53" s="155">
        <v>2.0999999999999999E-5</v>
      </c>
      <c r="E53" s="155">
        <v>1.4671749999999999</v>
      </c>
      <c r="F53" s="155">
        <v>4.3000000000000002E-5</v>
      </c>
      <c r="G53" s="155">
        <v>1.712E-3</v>
      </c>
      <c r="H53" s="155">
        <v>7.2999999999999999E-5</v>
      </c>
      <c r="I53" s="94">
        <v>4.7800000000000002E-2</v>
      </c>
      <c r="J53" s="94">
        <v>1.2999999999999999E-3</v>
      </c>
      <c r="K53" s="96">
        <v>-53.786445532825191</v>
      </c>
      <c r="L53" s="96">
        <v>4.5418034319411049</v>
      </c>
      <c r="M53" s="96">
        <v>0.74662950110927795</v>
      </c>
      <c r="N53" s="155">
        <v>0.28117548762401773</v>
      </c>
      <c r="O53" s="99">
        <v>2823.6643552678738</v>
      </c>
      <c r="P53" s="99">
        <v>2893.8887976952033</v>
      </c>
      <c r="Q53" s="96">
        <v>-0.94843373493975902</v>
      </c>
    </row>
    <row r="54" spans="1:17">
      <c r="A54" s="3" t="s">
        <v>742</v>
      </c>
      <c r="B54" s="154">
        <v>2700000000</v>
      </c>
      <c r="C54" s="155">
        <v>0.28123500000000001</v>
      </c>
      <c r="D54" s="155">
        <v>2.5000000000000001E-5</v>
      </c>
      <c r="E54" s="155">
        <v>1.4671730000000001</v>
      </c>
      <c r="F54" s="155">
        <v>3.4E-5</v>
      </c>
      <c r="G54" s="155">
        <v>1.1180000000000001E-3</v>
      </c>
      <c r="H54" s="155">
        <v>2.1999999999999999E-5</v>
      </c>
      <c r="I54" s="94">
        <v>3.0339999999999999E-2</v>
      </c>
      <c r="J54" s="94">
        <v>5.2999999999999998E-4</v>
      </c>
      <c r="K54" s="96">
        <v>-54.811959615962415</v>
      </c>
      <c r="L54" s="96">
        <v>4.602664443524862</v>
      </c>
      <c r="M54" s="96">
        <v>0.88893629882482617</v>
      </c>
      <c r="N54" s="155">
        <v>0.28117719810960973</v>
      </c>
      <c r="O54" s="99">
        <v>2819.3649510748492</v>
      </c>
      <c r="P54" s="99">
        <v>2890.177953246689</v>
      </c>
      <c r="Q54" s="96">
        <v>-0.9663253012048193</v>
      </c>
    </row>
    <row r="55" spans="1:17">
      <c r="A55" s="3" t="s">
        <v>743</v>
      </c>
      <c r="B55" s="154">
        <v>2700000000</v>
      </c>
      <c r="C55" s="155">
        <v>0.28123300000000001</v>
      </c>
      <c r="D55" s="155">
        <v>2.4000000000000001E-5</v>
      </c>
      <c r="E55" s="155">
        <v>1.4671989999999999</v>
      </c>
      <c r="F55" s="155">
        <v>3.8999999999999999E-5</v>
      </c>
      <c r="G55" s="155">
        <v>1.6720000000000001E-3</v>
      </c>
      <c r="H55" s="155">
        <v>9.7999999999999997E-5</v>
      </c>
      <c r="I55" s="94">
        <v>4.8099999999999997E-2</v>
      </c>
      <c r="J55" s="94">
        <v>2.5999999999999999E-3</v>
      </c>
      <c r="K55" s="96">
        <v>-54.882684725144905</v>
      </c>
      <c r="L55" s="96">
        <v>3.5123717982843417</v>
      </c>
      <c r="M55" s="96">
        <v>0.85338491571046082</v>
      </c>
      <c r="N55" s="155">
        <v>0.28114655567018554</v>
      </c>
      <c r="O55" s="99">
        <v>2863.5408821099268</v>
      </c>
      <c r="P55" s="99">
        <v>2956.6892956467259</v>
      </c>
      <c r="Q55" s="96">
        <v>-0.94963855421686749</v>
      </c>
    </row>
    <row r="56" spans="1:17">
      <c r="A56" s="3" t="s">
        <v>744</v>
      </c>
      <c r="B56" s="154">
        <v>2700000000</v>
      </c>
      <c r="C56" s="155">
        <v>0.28125600000000001</v>
      </c>
      <c r="D56" s="155">
        <v>2.0000000000000002E-5</v>
      </c>
      <c r="E56" s="155">
        <v>1.4671460000000001</v>
      </c>
      <c r="F56" s="155">
        <v>3.1000000000000001E-5</v>
      </c>
      <c r="G56" s="155">
        <v>1.694E-3</v>
      </c>
      <c r="H56" s="155">
        <v>5.1E-5</v>
      </c>
      <c r="I56" s="94">
        <v>4.41E-2</v>
      </c>
      <c r="J56" s="94">
        <v>1.5E-3</v>
      </c>
      <c r="K56" s="96">
        <v>-54.069345969552927</v>
      </c>
      <c r="L56" s="96">
        <v>4.290266925064401</v>
      </c>
      <c r="M56" s="96">
        <v>0.71109594106436846</v>
      </c>
      <c r="N56" s="155">
        <v>0.28116841824479322</v>
      </c>
      <c r="O56" s="99">
        <v>2833.3888912402649</v>
      </c>
      <c r="P56" s="99">
        <v>2909.2381470882547</v>
      </c>
      <c r="Q56" s="96">
        <v>-0.94897590361445783</v>
      </c>
    </row>
    <row r="57" spans="1:17">
      <c r="A57" s="34" t="s">
        <v>281</v>
      </c>
      <c r="B57" s="156">
        <f t="shared" ref="B57:Q57" si="4">AVERAGE(B37:B56)</f>
        <v>2700000000</v>
      </c>
      <c r="C57" s="157">
        <f t="shared" si="4"/>
        <v>0.28126024999999999</v>
      </c>
      <c r="D57" s="157">
        <f t="shared" si="4"/>
        <v>2.315E-5</v>
      </c>
      <c r="E57" s="157">
        <f t="shared" si="4"/>
        <v>1.4671748</v>
      </c>
      <c r="F57" s="157">
        <f t="shared" si="4"/>
        <v>3.6849999999999988E-5</v>
      </c>
      <c r="G57" s="157">
        <f t="shared" si="4"/>
        <v>1.74142E-3</v>
      </c>
      <c r="H57" s="157">
        <f t="shared" si="4"/>
        <v>5.6994999999999992E-5</v>
      </c>
      <c r="I57" s="158">
        <f t="shared" si="4"/>
        <v>4.9049999999999996E-2</v>
      </c>
      <c r="J57" s="158">
        <f t="shared" si="4"/>
        <v>1.668E-3</v>
      </c>
      <c r="K57" s="159">
        <f t="shared" si="4"/>
        <v>-53.919055112541471</v>
      </c>
      <c r="L57" s="159">
        <f t="shared" si="4"/>
        <v>4.3542535851390785</v>
      </c>
      <c r="M57" s="159">
        <f t="shared" si="4"/>
        <v>0.82307638756293322</v>
      </c>
      <c r="N57" s="158">
        <f t="shared" si="4"/>
        <v>0.28117021657606123</v>
      </c>
      <c r="O57" s="160">
        <f t="shared" si="4"/>
        <v>2831.1041358773646</v>
      </c>
      <c r="P57" s="160">
        <f t="shared" si="4"/>
        <v>2905.3302796049284</v>
      </c>
      <c r="Q57" s="159">
        <f t="shared" si="4"/>
        <v>-0.94754759036144576</v>
      </c>
    </row>
    <row r="58" spans="1:17">
      <c r="A58" s="34" t="s">
        <v>204</v>
      </c>
      <c r="B58" s="156"/>
      <c r="C58" s="157">
        <f>(STDEV(C37:C56))</f>
        <v>2.9013381667592491E-5</v>
      </c>
      <c r="D58" s="157">
        <f t="shared" ref="D58:Q58" si="5">(STDEV(D37:D56))</f>
        <v>2.7582412397834427E-6</v>
      </c>
      <c r="E58" s="157">
        <f t="shared" si="5"/>
        <v>1.5275022611725452E-5</v>
      </c>
      <c r="F58" s="157">
        <f t="shared" si="5"/>
        <v>3.6888880081729384E-6</v>
      </c>
      <c r="G58" s="157">
        <f t="shared" si="5"/>
        <v>5.3235802317811018E-4</v>
      </c>
      <c r="H58" s="157">
        <f t="shared" si="5"/>
        <v>4.4174897313197901E-5</v>
      </c>
      <c r="I58" s="157">
        <f t="shared" si="5"/>
        <v>1.5722092066495729E-2</v>
      </c>
      <c r="J58" s="157">
        <f t="shared" si="5"/>
        <v>1.1343052592016982E-3</v>
      </c>
      <c r="K58" s="159">
        <f t="shared" si="5"/>
        <v>1.0259872930883092</v>
      </c>
      <c r="L58" s="159">
        <f t="shared" si="5"/>
        <v>0.38526091979356325</v>
      </c>
      <c r="M58" s="159">
        <f t="shared" si="5"/>
        <v>9.8017976957164507E-2</v>
      </c>
      <c r="N58" s="157">
        <f t="shared" si="5"/>
        <v>1.0827674981409598E-5</v>
      </c>
      <c r="O58" s="160">
        <f t="shared" si="5"/>
        <v>15.221760175434587</v>
      </c>
      <c r="P58" s="160">
        <f t="shared" si="5"/>
        <v>23.506374694264522</v>
      </c>
      <c r="Q58" s="159">
        <f t="shared" si="5"/>
        <v>1.6034880216208146E-2</v>
      </c>
    </row>
    <row r="59" spans="1:17">
      <c r="B59" s="154"/>
      <c r="C59" s="155"/>
      <c r="D59" s="155"/>
      <c r="E59" s="155"/>
      <c r="F59" s="155"/>
      <c r="G59" s="155"/>
      <c r="H59" s="155"/>
      <c r="I59" s="94"/>
      <c r="J59" s="94"/>
      <c r="N59" s="155"/>
    </row>
    <row r="60" spans="1:17" ht="13.75" customHeight="1">
      <c r="A60" s="3" t="s">
        <v>745</v>
      </c>
      <c r="B60" s="154">
        <v>2700000000</v>
      </c>
      <c r="C60" s="155">
        <v>0.281198</v>
      </c>
      <c r="D60" s="155">
        <v>2.3E-5</v>
      </c>
      <c r="E60" s="155">
        <v>1.467187</v>
      </c>
      <c r="F60" s="155">
        <v>3.8000000000000002E-5</v>
      </c>
      <c r="G60" s="155">
        <v>8.4699999999999999E-4</v>
      </c>
      <c r="H60" s="155">
        <v>1.1E-5</v>
      </c>
      <c r="I60" s="94">
        <v>2.307E-2</v>
      </c>
      <c r="J60" s="94">
        <v>7.7999999999999999E-4</v>
      </c>
      <c r="K60" s="96">
        <v>-56.120374135827376</v>
      </c>
      <c r="L60" s="96">
        <v>3.784690282493397</v>
      </c>
      <c r="M60" s="96">
        <v>0.81792900376247346</v>
      </c>
      <c r="N60" s="155">
        <v>0.28115420912239664</v>
      </c>
      <c r="O60" s="99">
        <v>2849.6038790598127</v>
      </c>
      <c r="P60" s="99">
        <v>2940.0886525783394</v>
      </c>
      <c r="Q60" s="96">
        <v>-0.97448795180722891</v>
      </c>
    </row>
    <row r="61" spans="1:17" ht="13.75" customHeight="1">
      <c r="A61" s="3" t="s">
        <v>746</v>
      </c>
      <c r="B61" s="154">
        <v>2700000000</v>
      </c>
      <c r="C61" s="155">
        <v>0.28126099999999998</v>
      </c>
      <c r="D61" s="155">
        <v>2.6999999999999999E-5</v>
      </c>
      <c r="E61" s="155">
        <v>1.467149</v>
      </c>
      <c r="F61" s="155">
        <v>3.6000000000000001E-5</v>
      </c>
      <c r="G61" s="155">
        <v>1.627E-3</v>
      </c>
      <c r="H61" s="155">
        <v>6.4999999999999994E-5</v>
      </c>
      <c r="I61" s="94">
        <v>4.5900000000000003E-2</v>
      </c>
      <c r="J61" s="94">
        <v>2.8E-3</v>
      </c>
      <c r="K61" s="96">
        <v>-53.892533196598926</v>
      </c>
      <c r="L61" s="96">
        <v>4.5914248095857424</v>
      </c>
      <c r="M61" s="96">
        <v>0.95996245480176778</v>
      </c>
      <c r="N61" s="155">
        <v>0.28117688222212428</v>
      </c>
      <c r="O61" s="99">
        <v>2821.4517965840473</v>
      </c>
      <c r="P61" s="99">
        <v>2890.8609793070586</v>
      </c>
      <c r="Q61" s="96">
        <v>-0.95099397590361445</v>
      </c>
    </row>
    <row r="62" spans="1:17">
      <c r="A62" s="3" t="s">
        <v>747</v>
      </c>
      <c r="B62" s="154">
        <v>2700000000</v>
      </c>
      <c r="C62" s="155">
        <v>0.28128500000000001</v>
      </c>
      <c r="D62" s="155">
        <v>2.5999999999999998E-5</v>
      </c>
      <c r="E62" s="155">
        <v>1.467198</v>
      </c>
      <c r="F62" s="155">
        <v>4.1999999999999998E-5</v>
      </c>
      <c r="G62" s="155">
        <v>2.323E-3</v>
      </c>
      <c r="H62" s="155">
        <v>1.2E-5</v>
      </c>
      <c r="I62" s="94">
        <v>6.6900000000000001E-2</v>
      </c>
      <c r="J62" s="94">
        <v>1.5E-3</v>
      </c>
      <c r="K62" s="96">
        <v>-53.043831886415703</v>
      </c>
      <c r="L62" s="96">
        <v>4.1650204199306096</v>
      </c>
      <c r="M62" s="96">
        <v>0.92432941678368907</v>
      </c>
      <c r="N62" s="155">
        <v>0.28116489821880442</v>
      </c>
      <c r="O62" s="99">
        <v>2840.6678817363463</v>
      </c>
      <c r="P62" s="99">
        <v>2916.8750072394087</v>
      </c>
      <c r="Q62" s="96">
        <v>-0.93003012048192768</v>
      </c>
    </row>
    <row r="63" spans="1:17">
      <c r="A63" s="3" t="s">
        <v>748</v>
      </c>
      <c r="B63" s="154">
        <v>2700000000</v>
      </c>
      <c r="C63" s="155">
        <v>0.281219</v>
      </c>
      <c r="D63" s="155">
        <v>2.5000000000000001E-5</v>
      </c>
      <c r="E63" s="155">
        <v>1.4671749999999999</v>
      </c>
      <c r="F63" s="155">
        <v>3.8999999999999999E-5</v>
      </c>
      <c r="G63" s="155">
        <v>1.1926E-3</v>
      </c>
      <c r="H63" s="155">
        <v>5.3000000000000001E-6</v>
      </c>
      <c r="I63" s="94">
        <v>3.313E-2</v>
      </c>
      <c r="J63" s="94">
        <v>8.7000000000000001E-4</v>
      </c>
      <c r="K63" s="96">
        <v>-55.377760489417895</v>
      </c>
      <c r="L63" s="96">
        <v>3.8961332701514806</v>
      </c>
      <c r="M63" s="96">
        <v>0.88898687499777762</v>
      </c>
      <c r="N63" s="155">
        <v>0.28115734120350672</v>
      </c>
      <c r="O63" s="99">
        <v>2846.7162784571206</v>
      </c>
      <c r="P63" s="99">
        <v>2933.2876606438235</v>
      </c>
      <c r="Q63" s="96">
        <v>-0.96407831325301208</v>
      </c>
    </row>
    <row r="64" spans="1:17">
      <c r="A64" s="3" t="s">
        <v>749</v>
      </c>
      <c r="B64" s="154">
        <v>2700000000</v>
      </c>
      <c r="C64" s="155">
        <v>0.28123300000000001</v>
      </c>
      <c r="D64" s="155">
        <v>2.0000000000000002E-5</v>
      </c>
      <c r="E64" s="155">
        <v>1.4671860000000001</v>
      </c>
      <c r="F64" s="155">
        <v>4.8999999999999998E-5</v>
      </c>
      <c r="G64" s="155">
        <v>1.39E-3</v>
      </c>
      <c r="H64" s="155">
        <v>2.0999999999999999E-5</v>
      </c>
      <c r="I64" s="94">
        <v>3.8710000000000001E-2</v>
      </c>
      <c r="J64" s="94">
        <v>3.5E-4</v>
      </c>
      <c r="K64" s="96">
        <v>-54.882684725144905</v>
      </c>
      <c r="L64" s="96">
        <v>4.0311349177502009</v>
      </c>
      <c r="M64" s="96">
        <v>0.71115409642538396</v>
      </c>
      <c r="N64" s="155">
        <v>0.28116113539566856</v>
      </c>
      <c r="O64" s="99">
        <v>2842.2907278771754</v>
      </c>
      <c r="P64" s="99">
        <v>2925.0504204587291</v>
      </c>
      <c r="Q64" s="96">
        <v>-0.95813253012048194</v>
      </c>
    </row>
    <row r="65" spans="1:17">
      <c r="A65" s="3" t="s">
        <v>750</v>
      </c>
      <c r="B65" s="154">
        <v>2700000000</v>
      </c>
      <c r="C65" s="155">
        <v>0.281225</v>
      </c>
      <c r="D65" s="155">
        <v>2.4000000000000001E-5</v>
      </c>
      <c r="E65" s="155">
        <v>1.4671890000000001</v>
      </c>
      <c r="F65" s="155">
        <v>3.6000000000000001E-5</v>
      </c>
      <c r="G65" s="155">
        <v>1.395E-3</v>
      </c>
      <c r="H65" s="155">
        <v>1.1E-5</v>
      </c>
      <c r="I65" s="94">
        <v>3.9079999999999997E-2</v>
      </c>
      <c r="J65" s="94">
        <v>9.3000000000000005E-4</v>
      </c>
      <c r="K65" s="96">
        <v>-55.165585161872642</v>
      </c>
      <c r="L65" s="96">
        <v>3.7372879436858852</v>
      </c>
      <c r="M65" s="96">
        <v>0.85340919192817133</v>
      </c>
      <c r="N65" s="155">
        <v>0.2811528768898976</v>
      </c>
      <c r="O65" s="99">
        <v>2853.6444854361957</v>
      </c>
      <c r="P65" s="99">
        <v>2942.9749651096763</v>
      </c>
      <c r="Q65" s="96">
        <v>-0.95798192771084334</v>
      </c>
    </row>
    <row r="66" spans="1:17">
      <c r="A66" s="3" t="s">
        <v>751</v>
      </c>
      <c r="B66" s="154">
        <v>2700000000</v>
      </c>
      <c r="C66" s="155">
        <v>0.28132200000000002</v>
      </c>
      <c r="D66" s="155">
        <v>2.9E-5</v>
      </c>
      <c r="E66" s="155">
        <v>1.4671890000000001</v>
      </c>
      <c r="F66" s="155">
        <v>4.3999999999999999E-5</v>
      </c>
      <c r="G66" s="155">
        <v>2.9680000000000002E-3</v>
      </c>
      <c r="H66" s="155">
        <v>3.8000000000000002E-5</v>
      </c>
      <c r="I66" s="94">
        <v>8.5400000000000004E-2</v>
      </c>
      <c r="J66" s="94">
        <v>8.4000000000000003E-4</v>
      </c>
      <c r="K66" s="96">
        <v>-51.735417366550742</v>
      </c>
      <c r="L66" s="96">
        <v>4.2949895927302251</v>
      </c>
      <c r="M66" s="96">
        <v>1.0308472142242697</v>
      </c>
      <c r="N66" s="155">
        <v>0.28116855097434845</v>
      </c>
      <c r="O66" s="99">
        <v>2837.9885773831979</v>
      </c>
      <c r="P66" s="99">
        <v>2908.9406527282681</v>
      </c>
      <c r="Q66" s="96">
        <v>-0.91060240963855421</v>
      </c>
    </row>
    <row r="67" spans="1:17">
      <c r="A67" s="3" t="s">
        <v>752</v>
      </c>
      <c r="B67" s="154">
        <v>2700000000</v>
      </c>
      <c r="C67" s="155">
        <v>0.28123100000000001</v>
      </c>
      <c r="D67" s="155">
        <v>2.0999999999999999E-5</v>
      </c>
      <c r="E67" s="155">
        <v>1.4671890000000001</v>
      </c>
      <c r="F67" s="155">
        <v>3.3000000000000003E-5</v>
      </c>
      <c r="G67" s="155">
        <v>1.0445999999999999E-3</v>
      </c>
      <c r="H67" s="155">
        <v>6.9E-6</v>
      </c>
      <c r="I67" s="94">
        <v>2.9090000000000001E-2</v>
      </c>
      <c r="J67" s="94">
        <v>6.9999999999999999E-4</v>
      </c>
      <c r="K67" s="96">
        <v>-54.95340983432628</v>
      </c>
      <c r="L67" s="96">
        <v>4.5953654982189285</v>
      </c>
      <c r="M67" s="96">
        <v>0.74671711155598064</v>
      </c>
      <c r="N67" s="155">
        <v>0.28117699297432763</v>
      </c>
      <c r="O67" s="99">
        <v>2819.4097210935006</v>
      </c>
      <c r="P67" s="99">
        <v>2890.623841681032</v>
      </c>
      <c r="Q67" s="96">
        <v>-0.96853614457831327</v>
      </c>
    </row>
    <row r="68" spans="1:17">
      <c r="A68" s="3" t="s">
        <v>753</v>
      </c>
      <c r="B68" s="154">
        <v>2700000000</v>
      </c>
      <c r="C68" s="155">
        <v>0.28131400000000001</v>
      </c>
      <c r="D68" s="155">
        <v>2.6999999999999999E-5</v>
      </c>
      <c r="E68" s="155">
        <v>1.4671879999999999</v>
      </c>
      <c r="F68" s="155">
        <v>4.1999999999999998E-5</v>
      </c>
      <c r="G68" s="155">
        <v>3.0599999999999998E-3</v>
      </c>
      <c r="H68" s="155">
        <v>5.3999999999999998E-5</v>
      </c>
      <c r="I68" s="94">
        <v>8.8900000000000007E-2</v>
      </c>
      <c r="J68" s="94">
        <v>2.0999999999999999E-3</v>
      </c>
      <c r="K68" s="96">
        <v>-52.018317803278478</v>
      </c>
      <c r="L68" s="96">
        <v>3.8410986775527789</v>
      </c>
      <c r="M68" s="96">
        <v>0.95978159636562699</v>
      </c>
      <c r="N68" s="155">
        <v>0.28115579446816247</v>
      </c>
      <c r="O68" s="99">
        <v>2856.6802909404655</v>
      </c>
      <c r="P68" s="99">
        <v>2936.6274137536775</v>
      </c>
      <c r="Q68" s="96">
        <v>-0.90783132530120481</v>
      </c>
    </row>
    <row r="69" spans="1:17">
      <c r="A69" s="3" t="s">
        <v>754</v>
      </c>
      <c r="B69" s="154">
        <v>2700000000</v>
      </c>
      <c r="C69" s="155">
        <v>0.28127099999999999</v>
      </c>
      <c r="D69" s="155">
        <v>2.4000000000000001E-5</v>
      </c>
      <c r="E69" s="155">
        <v>1.4671730000000001</v>
      </c>
      <c r="F69" s="155">
        <v>3.8000000000000002E-5</v>
      </c>
      <c r="G69" s="155">
        <v>2.1080000000000001E-3</v>
      </c>
      <c r="H69" s="155">
        <v>4.5000000000000003E-5</v>
      </c>
      <c r="I69" s="94">
        <v>5.91E-2</v>
      </c>
      <c r="J69" s="94">
        <v>1.1000000000000001E-3</v>
      </c>
      <c r="K69" s="96">
        <v>-53.538907650688692</v>
      </c>
      <c r="L69" s="96">
        <v>4.0623954776597415</v>
      </c>
      <c r="M69" s="96">
        <v>0.85326962253485084</v>
      </c>
      <c r="N69" s="155">
        <v>0.28116201396695634</v>
      </c>
      <c r="O69" s="99">
        <v>2843.8724111880292</v>
      </c>
      <c r="P69" s="99">
        <v>2923.1375020015366</v>
      </c>
      <c r="Q69" s="96">
        <v>-0.9365060240963855</v>
      </c>
    </row>
    <row r="70" spans="1:17">
      <c r="A70" s="3" t="s">
        <v>755</v>
      </c>
      <c r="B70" s="154">
        <v>2700000000</v>
      </c>
      <c r="C70" s="155">
        <v>0.281279</v>
      </c>
      <c r="D70" s="155">
        <v>2.4000000000000001E-5</v>
      </c>
      <c r="E70" s="155">
        <v>1.4671730000000001</v>
      </c>
      <c r="F70" s="155">
        <v>4.6E-5</v>
      </c>
      <c r="G70" s="155">
        <v>1.967E-3</v>
      </c>
      <c r="H70" s="155">
        <v>2.3E-5</v>
      </c>
      <c r="I70" s="94">
        <v>5.4390000000000001E-2</v>
      </c>
      <c r="J70" s="94">
        <v>5.9999999999999995E-4</v>
      </c>
      <c r="K70" s="96">
        <v>-53.256007213960956</v>
      </c>
      <c r="L70" s="96">
        <v>4.6064260838107884</v>
      </c>
      <c r="M70" s="96">
        <v>0.85324535425680559</v>
      </c>
      <c r="N70" s="155">
        <v>0.28117730382969791</v>
      </c>
      <c r="O70" s="99">
        <v>2821.9959021789105</v>
      </c>
      <c r="P70" s="99">
        <v>2889.943448892489</v>
      </c>
      <c r="Q70" s="96">
        <v>-0.94075301204819273</v>
      </c>
    </row>
    <row r="71" spans="1:17">
      <c r="A71" s="3" t="s">
        <v>756</v>
      </c>
      <c r="B71" s="154">
        <v>2700000000</v>
      </c>
      <c r="C71" s="155">
        <v>0.28131200000000001</v>
      </c>
      <c r="D71" s="155">
        <v>3.1000000000000001E-5</v>
      </c>
      <c r="E71" s="155">
        <v>1.4672769999999999</v>
      </c>
      <c r="F71" s="155">
        <v>5.8999999999999998E-5</v>
      </c>
      <c r="G71" s="155">
        <v>2.575E-3</v>
      </c>
      <c r="H71" s="155">
        <v>2.0999999999999999E-5</v>
      </c>
      <c r="I71" s="94">
        <v>7.2800000000000004E-2</v>
      </c>
      <c r="J71" s="94">
        <v>2.0999999999999999E-3</v>
      </c>
      <c r="K71" s="96">
        <v>-52.08904291245986</v>
      </c>
      <c r="L71" s="96">
        <v>4.662135398014744</v>
      </c>
      <c r="M71" s="96">
        <v>1.101979297008304</v>
      </c>
      <c r="N71" s="155">
        <v>0.28117886952794718</v>
      </c>
      <c r="O71" s="99">
        <v>2821.8432544022435</v>
      </c>
      <c r="P71" s="99">
        <v>2886.5399396991611</v>
      </c>
      <c r="Q71" s="96">
        <v>-0.92243975903614461</v>
      </c>
    </row>
    <row r="72" spans="1:17">
      <c r="A72" s="3" t="s">
        <v>757</v>
      </c>
      <c r="B72" s="154">
        <v>2700000000</v>
      </c>
      <c r="C72" s="155">
        <v>0.281275</v>
      </c>
      <c r="D72" s="155">
        <v>2.6999999999999999E-5</v>
      </c>
      <c r="E72" s="155">
        <v>1.4672080000000001</v>
      </c>
      <c r="F72" s="155">
        <v>4.6E-5</v>
      </c>
      <c r="G72" s="155">
        <v>2.5490000000000001E-3</v>
      </c>
      <c r="H72" s="155">
        <v>3.3000000000000003E-5</v>
      </c>
      <c r="I72" s="94">
        <v>7.3200000000000001E-2</v>
      </c>
      <c r="J72" s="94">
        <v>1.2999999999999999E-3</v>
      </c>
      <c r="K72" s="96">
        <v>-53.397457432324828</v>
      </c>
      <c r="L72" s="96">
        <v>3.393462782124157</v>
      </c>
      <c r="M72" s="96">
        <v>0.9599146742511776</v>
      </c>
      <c r="N72" s="155">
        <v>0.28114321375795626</v>
      </c>
      <c r="O72" s="99">
        <v>2872.2676061528887</v>
      </c>
      <c r="P72" s="99">
        <v>2963.930168725949</v>
      </c>
      <c r="Q72" s="96">
        <v>-0.92322289156626502</v>
      </c>
    </row>
    <row r="73" spans="1:17">
      <c r="A73" s="3" t="s">
        <v>758</v>
      </c>
      <c r="B73" s="154">
        <v>2700000000</v>
      </c>
      <c r="C73" s="155">
        <v>0.28124900000000003</v>
      </c>
      <c r="D73" s="155">
        <v>2.4000000000000001E-5</v>
      </c>
      <c r="E73" s="155">
        <v>1.4671620000000001</v>
      </c>
      <c r="F73" s="155">
        <v>4.1E-5</v>
      </c>
      <c r="G73" s="155">
        <v>2.1480000000000002E-3</v>
      </c>
      <c r="H73" s="155">
        <v>3.6999999999999998E-5</v>
      </c>
      <c r="I73" s="94">
        <v>6.0299999999999999E-2</v>
      </c>
      <c r="J73" s="94">
        <v>2.3E-3</v>
      </c>
      <c r="K73" s="96">
        <v>-54.316883851688317</v>
      </c>
      <c r="L73" s="96">
        <v>3.2060271788192374</v>
      </c>
      <c r="M73" s="96">
        <v>0.8533363674181953</v>
      </c>
      <c r="N73" s="155">
        <v>0.28113794592078861</v>
      </c>
      <c r="O73" s="99">
        <v>2877.7416377599679</v>
      </c>
      <c r="P73" s="99">
        <v>2975.3628141912118</v>
      </c>
      <c r="Q73" s="96">
        <v>-0.93530120481927714</v>
      </c>
    </row>
    <row r="74" spans="1:17">
      <c r="A74" s="3" t="s">
        <v>759</v>
      </c>
      <c r="B74" s="154">
        <v>2700000000</v>
      </c>
      <c r="C74" s="155">
        <v>0.281248</v>
      </c>
      <c r="D74" s="155">
        <v>2.5999999999999998E-5</v>
      </c>
      <c r="E74" s="155">
        <v>1.4671419999999999</v>
      </c>
      <c r="F74" s="155">
        <v>3.8999999999999999E-5</v>
      </c>
      <c r="G74" s="155">
        <v>1.735E-3</v>
      </c>
      <c r="H74" s="155">
        <v>5.1999999999999997E-5</v>
      </c>
      <c r="I74" s="94">
        <v>5.0200000000000002E-2</v>
      </c>
      <c r="J74" s="94">
        <v>2.5000000000000001E-3</v>
      </c>
      <c r="K74" s="96">
        <v>-54.35224640628067</v>
      </c>
      <c r="L74" s="96">
        <v>3.930194871919479</v>
      </c>
      <c r="M74" s="96">
        <v>0.92445101831835241</v>
      </c>
      <c r="N74" s="155">
        <v>0.2811582984974712</v>
      </c>
      <c r="O74" s="99">
        <v>2847.5576617562629</v>
      </c>
      <c r="P74" s="99">
        <v>2931.2051994997169</v>
      </c>
      <c r="Q74" s="96">
        <v>-0.94774096385542173</v>
      </c>
    </row>
    <row r="75" spans="1:17">
      <c r="A75" s="3" t="s">
        <v>760</v>
      </c>
      <c r="B75" s="154">
        <v>2700000000</v>
      </c>
      <c r="C75" s="155">
        <v>0.28128999999999998</v>
      </c>
      <c r="D75" s="155">
        <v>2.3E-5</v>
      </c>
      <c r="E75" s="155">
        <v>1.4671609999999999</v>
      </c>
      <c r="F75" s="155">
        <v>4.1999999999999998E-5</v>
      </c>
      <c r="G75" s="155">
        <v>2.5106999999999998E-3</v>
      </c>
      <c r="H75" s="155">
        <v>9.5000000000000005E-6</v>
      </c>
      <c r="I75" s="94">
        <v>7.1249999999999994E-2</v>
      </c>
      <c r="J75" s="94">
        <v>8.8999999999999995E-4</v>
      </c>
      <c r="K75" s="96">
        <v>-52.867019113461701</v>
      </c>
      <c r="L75" s="96">
        <v>3.9976358699522763</v>
      </c>
      <c r="M75" s="96">
        <v>0.81766148814390849</v>
      </c>
      <c r="N75" s="155">
        <v>0.2811601939121619</v>
      </c>
      <c r="O75" s="99">
        <v>2848.0602425158991</v>
      </c>
      <c r="P75" s="99">
        <v>2927.084549646404</v>
      </c>
      <c r="Q75" s="96">
        <v>-0.92437650602409638</v>
      </c>
    </row>
    <row r="76" spans="1:17">
      <c r="A76" s="3" t="s">
        <v>761</v>
      </c>
      <c r="B76" s="154">
        <v>2700000000</v>
      </c>
      <c r="C76" s="155">
        <v>0.281221</v>
      </c>
      <c r="D76" s="155">
        <v>2.1999999999999999E-5</v>
      </c>
      <c r="E76" s="155">
        <v>1.4671829999999999</v>
      </c>
      <c r="F76" s="155">
        <v>3.4E-5</v>
      </c>
      <c r="G76" s="155">
        <v>1.214E-3</v>
      </c>
      <c r="H76" s="155">
        <v>5.3000000000000001E-5</v>
      </c>
      <c r="I76" s="94">
        <v>3.09E-2</v>
      </c>
      <c r="J76" s="94">
        <v>1E-3</v>
      </c>
      <c r="K76" s="96">
        <v>-55.307035380236513</v>
      </c>
      <c r="L76" s="96">
        <v>3.9279284014126503</v>
      </c>
      <c r="M76" s="96">
        <v>0.78230288634205836</v>
      </c>
      <c r="N76" s="155">
        <v>0.28115823479880692</v>
      </c>
      <c r="O76" s="99">
        <v>2845.5800914171837</v>
      </c>
      <c r="P76" s="99">
        <v>2931.3479179247602</v>
      </c>
      <c r="Q76" s="96">
        <v>-0.96343373493975903</v>
      </c>
    </row>
    <row r="77" spans="1:17">
      <c r="A77" s="3" t="s">
        <v>762</v>
      </c>
      <c r="B77" s="154">
        <v>2700000000</v>
      </c>
      <c r="C77" s="155">
        <v>0.28130699999999997</v>
      </c>
      <c r="D77" s="155">
        <v>3.0000000000000001E-5</v>
      </c>
      <c r="E77" s="155">
        <v>1.467163</v>
      </c>
      <c r="F77" s="155">
        <v>3.6999999999999998E-5</v>
      </c>
      <c r="G77" s="155">
        <v>2.3800000000000002E-3</v>
      </c>
      <c r="H77" s="155">
        <v>1.2999999999999999E-4</v>
      </c>
      <c r="I77" s="94">
        <v>6.7699999999999996E-2</v>
      </c>
      <c r="J77" s="94">
        <v>2.7000000000000001E-3</v>
      </c>
      <c r="K77" s="96">
        <v>-52.265855685416085</v>
      </c>
      <c r="L77" s="96">
        <v>4.842948922358925</v>
      </c>
      <c r="M77" s="96">
        <v>1.0664505326920413</v>
      </c>
      <c r="N77" s="155">
        <v>0.28118395125301521</v>
      </c>
      <c r="O77" s="99">
        <v>2814.0150738966518</v>
      </c>
      <c r="P77" s="99">
        <v>2875.5052547759569</v>
      </c>
      <c r="Q77" s="96">
        <v>-0.92831325301204815</v>
      </c>
    </row>
    <row r="78" spans="1:17">
      <c r="A78" s="3" t="s">
        <v>763</v>
      </c>
      <c r="B78" s="154">
        <v>2700000000</v>
      </c>
      <c r="C78" s="155">
        <v>0.28123900000000002</v>
      </c>
      <c r="D78" s="155">
        <v>2.1999999999999999E-5</v>
      </c>
      <c r="E78" s="155">
        <v>1.4671799999999999</v>
      </c>
      <c r="F78" s="155">
        <v>4.0000000000000003E-5</v>
      </c>
      <c r="G78" s="155">
        <v>1.2700000000000001E-3</v>
      </c>
      <c r="H78" s="155">
        <v>1.2E-5</v>
      </c>
      <c r="I78" s="94">
        <v>3.5490000000000001E-2</v>
      </c>
      <c r="J78" s="94">
        <v>8.4999999999999995E-4</v>
      </c>
      <c r="K78" s="96">
        <v>-54.670509397598543</v>
      </c>
      <c r="L78" s="96">
        <v>4.4653719661646996</v>
      </c>
      <c r="M78" s="96">
        <v>0.78225281699906479</v>
      </c>
      <c r="N78" s="155">
        <v>0.28117333953417201</v>
      </c>
      <c r="O78" s="99">
        <v>2825.1335170182974</v>
      </c>
      <c r="P78" s="99">
        <v>2898.5558755080933</v>
      </c>
      <c r="Q78" s="96">
        <v>-0.96174698795180724</v>
      </c>
    </row>
    <row r="79" spans="1:17">
      <c r="A79" s="3" t="s">
        <v>764</v>
      </c>
      <c r="B79" s="154">
        <v>2700000000</v>
      </c>
      <c r="C79" s="155">
        <v>0.28133399999999997</v>
      </c>
      <c r="D79" s="155">
        <v>2.5999999999999998E-5</v>
      </c>
      <c r="E79" s="155">
        <v>1.4671890000000001</v>
      </c>
      <c r="F79" s="155">
        <v>3.8000000000000002E-5</v>
      </c>
      <c r="G79" s="155">
        <v>2.8709999999999999E-3</v>
      </c>
      <c r="H79" s="155">
        <v>4.3999999999999999E-5</v>
      </c>
      <c r="I79" s="94">
        <v>8.5000000000000006E-2</v>
      </c>
      <c r="J79" s="94">
        <v>2.7000000000000001E-3</v>
      </c>
      <c r="K79" s="96">
        <v>-51.311066711460242</v>
      </c>
      <c r="L79" s="96">
        <v>4.9004029587651488</v>
      </c>
      <c r="M79" s="96">
        <v>0.92416842614117034</v>
      </c>
      <c r="N79" s="155">
        <v>0.28118556598630534</v>
      </c>
      <c r="O79" s="99">
        <v>2813.2793408603857</v>
      </c>
      <c r="P79" s="99">
        <v>2871.9957992063523</v>
      </c>
      <c r="Q79" s="96">
        <v>-0.91352409638554222</v>
      </c>
    </row>
    <row r="80" spans="1:17">
      <c r="A80" s="3" t="s">
        <v>765</v>
      </c>
      <c r="B80" s="154">
        <v>2700000000</v>
      </c>
      <c r="C80" s="155">
        <v>0.28125499999999998</v>
      </c>
      <c r="D80" s="155">
        <v>2.9E-5</v>
      </c>
      <c r="E80" s="155">
        <v>1.467182</v>
      </c>
      <c r="F80" s="155">
        <v>3.8999999999999999E-5</v>
      </c>
      <c r="G80" s="155">
        <v>1.637E-3</v>
      </c>
      <c r="H80" s="155">
        <v>7.7999999999999999E-5</v>
      </c>
      <c r="I80" s="94">
        <v>4.58E-2</v>
      </c>
      <c r="J80" s="94">
        <v>3.2000000000000002E-3</v>
      </c>
      <c r="K80" s="96">
        <v>-54.104708524145281</v>
      </c>
      <c r="L80" s="96">
        <v>4.3595421694742065</v>
      </c>
      <c r="M80" s="96">
        <v>1.0310927805727899</v>
      </c>
      <c r="N80" s="155">
        <v>0.28117036521058231</v>
      </c>
      <c r="O80" s="99">
        <v>2830.4917782745702</v>
      </c>
      <c r="P80" s="99">
        <v>2905.0115061841034</v>
      </c>
      <c r="Q80" s="96">
        <v>-0.95069277108433736</v>
      </c>
    </row>
    <row r="81" spans="1:17">
      <c r="A81" s="34" t="s">
        <v>281</v>
      </c>
      <c r="B81" s="156">
        <f t="shared" ref="B81:Q81" si="6">AVERAGE(B60:B80)</f>
        <v>2700000000</v>
      </c>
      <c r="C81" s="157">
        <f t="shared" si="6"/>
        <v>0.28126514285714288</v>
      </c>
      <c r="D81" s="157">
        <f t="shared" si="6"/>
        <v>2.5238095238095243E-5</v>
      </c>
      <c r="E81" s="157">
        <f t="shared" si="6"/>
        <v>1.4671829999999997</v>
      </c>
      <c r="F81" s="157">
        <f t="shared" si="6"/>
        <v>4.0857142857142862E-5</v>
      </c>
      <c r="G81" s="157">
        <f t="shared" si="6"/>
        <v>1.9434238095238094E-3</v>
      </c>
      <c r="H81" s="157">
        <f t="shared" si="6"/>
        <v>3.6271428571428568E-5</v>
      </c>
      <c r="I81" s="158">
        <f t="shared" si="6"/>
        <v>5.506238095238096E-2</v>
      </c>
      <c r="J81" s="158">
        <f t="shared" si="6"/>
        <v>1.5290476190476191E-3</v>
      </c>
      <c r="K81" s="159">
        <f t="shared" si="6"/>
        <v>-53.74603118472163</v>
      </c>
      <c r="L81" s="159">
        <f t="shared" si="6"/>
        <v>4.1567436901226342</v>
      </c>
      <c r="M81" s="159">
        <f t="shared" si="6"/>
        <v>0.89729724883446971</v>
      </c>
      <c r="N81" s="158">
        <f t="shared" si="6"/>
        <v>0.28116466560309988</v>
      </c>
      <c r="O81" s="160">
        <f t="shared" si="6"/>
        <v>2839.5377217137693</v>
      </c>
      <c r="P81" s="160">
        <f t="shared" si="6"/>
        <v>2917.3785509407498</v>
      </c>
      <c r="Q81" s="159">
        <f t="shared" si="6"/>
        <v>-0.94146313826735517</v>
      </c>
    </row>
    <row r="82" spans="1:17">
      <c r="A82" s="34" t="s">
        <v>204</v>
      </c>
      <c r="B82" s="156"/>
      <c r="C82" s="157">
        <f>STDEV(C60:C80)</f>
        <v>3.8339647513093809E-5</v>
      </c>
      <c r="D82" s="157">
        <f t="shared" ref="D82:Q82" si="7">STDEV(D60:D80)</f>
        <v>2.9816901566856656E-6</v>
      </c>
      <c r="E82" s="157">
        <f t="shared" si="7"/>
        <v>2.675443888404106E-5</v>
      </c>
      <c r="F82" s="157">
        <f t="shared" si="7"/>
        <v>5.7817446699565884E-6</v>
      </c>
      <c r="G82" s="157">
        <f t="shared" si="7"/>
        <v>6.7276705619758294E-4</v>
      </c>
      <c r="H82" s="157">
        <f t="shared" si="7"/>
        <v>2.998333108340604E-5</v>
      </c>
      <c r="I82" s="157">
        <f t="shared" si="7"/>
        <v>2.0091669145385061E-2</v>
      </c>
      <c r="J82" s="157">
        <f t="shared" si="7"/>
        <v>8.8020398068802653E-4</v>
      </c>
      <c r="K82" s="159">
        <f t="shared" si="7"/>
        <v>1.3557878781792854</v>
      </c>
      <c r="L82" s="159">
        <f t="shared" si="7"/>
        <v>0.45499939036100334</v>
      </c>
      <c r="M82" s="159">
        <f t="shared" si="7"/>
        <v>0.10592856876112371</v>
      </c>
      <c r="N82" s="157">
        <f t="shared" si="7"/>
        <v>1.2787659641689459E-5</v>
      </c>
      <c r="O82" s="160">
        <f t="shared" si="7"/>
        <v>17.837160565948366</v>
      </c>
      <c r="P82" s="160">
        <f t="shared" si="7"/>
        <v>27.758491475250608</v>
      </c>
      <c r="Q82" s="159">
        <f t="shared" si="7"/>
        <v>2.0264067957758529E-2</v>
      </c>
    </row>
    <row r="83" spans="1:17">
      <c r="A83" s="34"/>
      <c r="B83" s="156"/>
      <c r="C83" s="157"/>
      <c r="D83" s="157"/>
      <c r="E83" s="157"/>
      <c r="F83" s="157"/>
      <c r="G83" s="157"/>
      <c r="H83" s="157"/>
      <c r="I83" s="158"/>
      <c r="J83" s="158"/>
      <c r="K83" s="159"/>
      <c r="L83" s="159"/>
      <c r="M83" s="159"/>
      <c r="N83" s="157"/>
      <c r="O83" s="160"/>
      <c r="P83" s="160"/>
    </row>
    <row r="84" spans="1:17" s="165" customFormat="1">
      <c r="A84" s="111" t="s">
        <v>766</v>
      </c>
      <c r="B84" s="162">
        <v>2700000000</v>
      </c>
      <c r="C84" s="163">
        <v>0.28131400000000001</v>
      </c>
      <c r="D84" s="163">
        <v>2.5000000000000001E-5</v>
      </c>
      <c r="E84" s="163">
        <v>1.4671540000000001</v>
      </c>
      <c r="F84" s="163">
        <v>3.1999999999999999E-5</v>
      </c>
      <c r="G84" s="163">
        <v>2.8519999999999999E-3</v>
      </c>
      <c r="H84" s="163">
        <v>1.2E-5</v>
      </c>
      <c r="I84" s="114">
        <v>7.8539999999999999E-2</v>
      </c>
      <c r="J84" s="114">
        <v>9.7999999999999997E-4</v>
      </c>
      <c r="K84" s="116">
        <v>-52.018317803278478</v>
      </c>
      <c r="L84" s="116">
        <v>4.2237324678007226</v>
      </c>
      <c r="M84" s="116">
        <v>0.88868666330150647</v>
      </c>
      <c r="N84" s="163">
        <v>0.28116654830823512</v>
      </c>
      <c r="O84" s="164"/>
      <c r="P84" s="164"/>
    </row>
    <row r="85" spans="1:17">
      <c r="B85" s="154"/>
      <c r="C85" s="155"/>
      <c r="D85" s="155"/>
      <c r="E85" s="155"/>
      <c r="F85" s="155"/>
      <c r="G85" s="155"/>
      <c r="H85" s="155"/>
      <c r="I85" s="94"/>
      <c r="J85" s="94"/>
      <c r="N85" s="155"/>
    </row>
    <row r="86" spans="1:17">
      <c r="A86" s="3" t="s">
        <v>767</v>
      </c>
      <c r="B86" s="154">
        <v>2700000000</v>
      </c>
      <c r="C86" s="155">
        <v>0.28134799999999999</v>
      </c>
      <c r="D86" s="155">
        <v>3.0000000000000001E-5</v>
      </c>
      <c r="E86" s="155">
        <v>1.4671670000000001</v>
      </c>
      <c r="F86" s="155">
        <v>3.8000000000000002E-5</v>
      </c>
      <c r="G86" s="155">
        <v>3.7399999999999998E-3</v>
      </c>
      <c r="H86" s="155">
        <v>5.3999999999999998E-5</v>
      </c>
      <c r="I86" s="94">
        <v>0.10888</v>
      </c>
      <c r="J86" s="94">
        <v>9.2000000000000003E-4</v>
      </c>
      <c r="K86" s="96">
        <v>-50.815990947187252</v>
      </c>
      <c r="L86" s="96">
        <v>3.799938964395011</v>
      </c>
      <c r="M86" s="96">
        <v>1.0662951220552483</v>
      </c>
      <c r="N86" s="155">
        <v>0.28115463768330967</v>
      </c>
      <c r="O86" s="99">
        <v>2861.444316948789</v>
      </c>
      <c r="P86" s="99">
        <v>2939.1307703181637</v>
      </c>
      <c r="Q86" s="96">
        <v>-0.88734939759036147</v>
      </c>
    </row>
    <row r="87" spans="1:17">
      <c r="A87" s="3" t="s">
        <v>768</v>
      </c>
      <c r="B87" s="154">
        <v>2700000000</v>
      </c>
      <c r="C87" s="155">
        <v>0.28122999999999998</v>
      </c>
      <c r="D87" s="155">
        <v>2.0999999999999999E-5</v>
      </c>
      <c r="E87" s="155">
        <v>1.4671749999999999</v>
      </c>
      <c r="F87" s="155">
        <v>3.4999999999999997E-5</v>
      </c>
      <c r="G87" s="155">
        <v>1.1509999999999999E-3</v>
      </c>
      <c r="H87" s="155">
        <v>5.8E-5</v>
      </c>
      <c r="I87" s="94">
        <v>3.2199999999999999E-2</v>
      </c>
      <c r="J87" s="94">
        <v>2.0999999999999999E-3</v>
      </c>
      <c r="K87" s="96">
        <v>-54.98877238891864</v>
      </c>
      <c r="L87" s="96">
        <v>4.3640524670207625</v>
      </c>
      <c r="M87" s="96">
        <v>0.74671976673896823</v>
      </c>
      <c r="N87" s="155">
        <v>0.28117049197152122</v>
      </c>
      <c r="O87" s="99">
        <v>2828.6183560099594</v>
      </c>
      <c r="P87" s="99">
        <v>2904.7395360262813</v>
      </c>
      <c r="Q87" s="96">
        <v>-0.9653313253012048</v>
      </c>
    </row>
    <row r="88" spans="1:17">
      <c r="A88" s="3" t="s">
        <v>769</v>
      </c>
      <c r="B88" s="154">
        <v>2700000000</v>
      </c>
      <c r="C88" s="155">
        <v>0.28132299999999999</v>
      </c>
      <c r="D88" s="155">
        <v>3.3000000000000003E-5</v>
      </c>
      <c r="E88" s="155">
        <v>1.467144</v>
      </c>
      <c r="F88" s="155">
        <v>4.8999999999999998E-5</v>
      </c>
      <c r="G88" s="155">
        <v>3.388E-3</v>
      </c>
      <c r="H88" s="155">
        <v>1.5999999999999999E-5</v>
      </c>
      <c r="I88" s="94">
        <v>0.1003</v>
      </c>
      <c r="J88" s="94">
        <v>1.4E-3</v>
      </c>
      <c r="K88" s="96">
        <v>-51.700054811960605</v>
      </c>
      <c r="L88" s="96">
        <v>3.5579448009204206</v>
      </c>
      <c r="M88" s="96">
        <v>1.1730288671740314</v>
      </c>
      <c r="N88" s="155">
        <v>0.28114783648958641</v>
      </c>
      <c r="O88" s="99">
        <v>2869.6863207634124</v>
      </c>
      <c r="P88" s="99">
        <v>2953.8913445542134</v>
      </c>
      <c r="Q88" s="96">
        <v>-0.89795180722891565</v>
      </c>
    </row>
    <row r="89" spans="1:17">
      <c r="A89" s="3" t="s">
        <v>770</v>
      </c>
      <c r="B89" s="154">
        <v>2700000000</v>
      </c>
      <c r="C89" s="155">
        <v>0.28125299999999998</v>
      </c>
      <c r="D89" s="155">
        <v>2.6999999999999999E-5</v>
      </c>
      <c r="E89" s="155">
        <v>1.4672369999999999</v>
      </c>
      <c r="F89" s="155">
        <v>4.6E-5</v>
      </c>
      <c r="G89" s="155">
        <v>1.616E-3</v>
      </c>
      <c r="H89" s="155">
        <v>1.2E-5</v>
      </c>
      <c r="I89" s="94">
        <v>4.3319999999999997E-2</v>
      </c>
      <c r="J89" s="94">
        <v>6.4999999999999997E-4</v>
      </c>
      <c r="K89" s="96">
        <v>-54.175433633326662</v>
      </c>
      <c r="L89" s="96">
        <v>4.3270112040016961</v>
      </c>
      <c r="M89" s="96">
        <v>0.95998976010922554</v>
      </c>
      <c r="N89" s="155">
        <v>0.28116945093482043</v>
      </c>
      <c r="O89" s="99">
        <v>2831.6801258219216</v>
      </c>
      <c r="P89" s="99">
        <v>2906.9966559074173</v>
      </c>
      <c r="Q89" s="96">
        <v>-0.95132530120481928</v>
      </c>
    </row>
    <row r="90" spans="1:17">
      <c r="A90" s="3" t="s">
        <v>771</v>
      </c>
      <c r="B90" s="154">
        <v>2700000000</v>
      </c>
      <c r="C90" s="155">
        <v>0.28123100000000001</v>
      </c>
      <c r="D90" s="155">
        <v>2.0999999999999999E-5</v>
      </c>
      <c r="E90" s="155">
        <v>1.4672130000000001</v>
      </c>
      <c r="F90" s="155">
        <v>3.6999999999999998E-5</v>
      </c>
      <c r="G90" s="155">
        <v>1.2279999999999999E-3</v>
      </c>
      <c r="H90" s="155">
        <v>2.3E-5</v>
      </c>
      <c r="I90" s="94">
        <v>3.4099999999999998E-2</v>
      </c>
      <c r="J90" s="94">
        <v>1.2999999999999999E-3</v>
      </c>
      <c r="K90" s="96">
        <v>-54.95340983432628</v>
      </c>
      <c r="L90" s="96">
        <v>4.2579855120106203</v>
      </c>
      <c r="M90" s="96">
        <v>0.74671711155598064</v>
      </c>
      <c r="N90" s="155">
        <v>0.28116751098264819</v>
      </c>
      <c r="O90" s="99">
        <v>2832.9586986796262</v>
      </c>
      <c r="P90" s="99">
        <v>2911.2111430478235</v>
      </c>
      <c r="Q90" s="96">
        <v>-0.96301204819277109</v>
      </c>
    </row>
    <row r="91" spans="1:17">
      <c r="A91" s="3" t="s">
        <v>772</v>
      </c>
      <c r="B91" s="154">
        <v>2700000000</v>
      </c>
      <c r="C91" s="155">
        <v>0.28120800000000001</v>
      </c>
      <c r="D91" s="155">
        <v>2.3E-5</v>
      </c>
      <c r="E91" s="155">
        <v>1.467182</v>
      </c>
      <c r="F91" s="155">
        <v>3.8000000000000002E-5</v>
      </c>
      <c r="G91" s="155">
        <v>1.0610000000000001E-3</v>
      </c>
      <c r="H91" s="155">
        <v>1.9000000000000001E-5</v>
      </c>
      <c r="I91" s="94">
        <v>2.8809999999999999E-2</v>
      </c>
      <c r="J91" s="94">
        <v>2.5999999999999998E-4</v>
      </c>
      <c r="K91" s="96">
        <v>-55.766748589918258</v>
      </c>
      <c r="L91" s="96">
        <v>3.7468302870857784</v>
      </c>
      <c r="M91" s="96">
        <v>0.81789991749879087</v>
      </c>
      <c r="N91" s="155">
        <v>0.28115314507539885</v>
      </c>
      <c r="O91" s="99">
        <v>2851.9073201068677</v>
      </c>
      <c r="P91" s="99">
        <v>2942.3960438235185</v>
      </c>
      <c r="Q91" s="96">
        <v>-0.96804216867469883</v>
      </c>
    </row>
    <row r="92" spans="1:17">
      <c r="A92" s="3" t="s">
        <v>773</v>
      </c>
      <c r="B92" s="154">
        <v>2700000000</v>
      </c>
      <c r="C92" s="155">
        <v>0.28130899999999998</v>
      </c>
      <c r="D92" s="155">
        <v>2.8E-5</v>
      </c>
      <c r="E92" s="155">
        <v>1.4671860000000001</v>
      </c>
      <c r="F92" s="155">
        <v>3.6000000000000001E-5</v>
      </c>
      <c r="G92" s="155">
        <v>2.5739999999999999E-3</v>
      </c>
      <c r="H92" s="155">
        <v>5.1E-5</v>
      </c>
      <c r="I92" s="94">
        <v>7.4399999999999994E-2</v>
      </c>
      <c r="J92" s="94">
        <v>2.0999999999999999E-3</v>
      </c>
      <c r="K92" s="96">
        <v>-52.195130576233595</v>
      </c>
      <c r="L92" s="96">
        <v>4.5572315911379668</v>
      </c>
      <c r="M92" s="96">
        <v>0.99534675392539884</v>
      </c>
      <c r="N92" s="155">
        <v>0.28117592122910134</v>
      </c>
      <c r="O92" s="99">
        <v>2826.0213529363809</v>
      </c>
      <c r="P92" s="99">
        <v>2892.9419226623413</v>
      </c>
      <c r="Q92" s="96">
        <v>-0.92246987951807236</v>
      </c>
    </row>
    <row r="93" spans="1:17">
      <c r="A93" s="3" t="s">
        <v>774</v>
      </c>
      <c r="B93" s="154">
        <v>2700000000</v>
      </c>
      <c r="C93" s="155">
        <v>0.28119699999999997</v>
      </c>
      <c r="D93" s="155">
        <v>2.0000000000000002E-5</v>
      </c>
      <c r="E93" s="155">
        <v>1.4671609999999999</v>
      </c>
      <c r="F93" s="155">
        <v>3.1000000000000001E-5</v>
      </c>
      <c r="G93" s="155">
        <v>7.7519999999999998E-4</v>
      </c>
      <c r="H93" s="155">
        <v>1.1999999999999999E-6</v>
      </c>
      <c r="I93" s="94">
        <v>2.07E-2</v>
      </c>
      <c r="J93" s="94">
        <v>4.6000000000000001E-4</v>
      </c>
      <c r="K93" s="96">
        <v>-56.155736690419729</v>
      </c>
      <c r="L93" s="96">
        <v>3.8811913927450092</v>
      </c>
      <c r="M93" s="96">
        <v>0.71124514130662853</v>
      </c>
      <c r="N93" s="155">
        <v>0.28115692126526781</v>
      </c>
      <c r="O93" s="99">
        <v>2845.6577338479519</v>
      </c>
      <c r="P93" s="99">
        <v>2934.2026967727529</v>
      </c>
      <c r="Q93" s="96">
        <v>-0.97665060240963852</v>
      </c>
    </row>
    <row r="94" spans="1:17">
      <c r="A94" s="3" t="s">
        <v>775</v>
      </c>
      <c r="B94" s="154">
        <v>2700000000</v>
      </c>
      <c r="C94" s="155">
        <v>0.28132299999999999</v>
      </c>
      <c r="D94" s="155">
        <v>2.5999999999999998E-5</v>
      </c>
      <c r="E94" s="155">
        <v>1.4671780000000001</v>
      </c>
      <c r="F94" s="155">
        <v>3.6999999999999998E-5</v>
      </c>
      <c r="G94" s="155">
        <v>2.49E-3</v>
      </c>
      <c r="H94" s="155">
        <v>6.7000000000000002E-5</v>
      </c>
      <c r="I94" s="94">
        <v>7.2099999999999997E-2</v>
      </c>
      <c r="J94" s="94">
        <v>1.4E-3</v>
      </c>
      <c r="K94" s="96">
        <v>-51.700054811960605</v>
      </c>
      <c r="L94" s="96">
        <v>5.2098926068855356</v>
      </c>
      <c r="M94" s="96">
        <v>0.9242045620159034</v>
      </c>
      <c r="N94" s="155">
        <v>0.28119426412605375</v>
      </c>
      <c r="O94" s="99">
        <v>2799.7670925996135</v>
      </c>
      <c r="P94" s="99">
        <v>2853.1041151817144</v>
      </c>
      <c r="Q94" s="96">
        <v>-0.92500000000000004</v>
      </c>
    </row>
    <row r="95" spans="1:17">
      <c r="A95" s="3" t="s">
        <v>776</v>
      </c>
      <c r="B95" s="154">
        <v>2700000000</v>
      </c>
      <c r="C95" s="155">
        <v>0.28122000000000003</v>
      </c>
      <c r="D95" s="155">
        <v>2.1999999999999999E-5</v>
      </c>
      <c r="E95" s="155">
        <v>1.4671620000000001</v>
      </c>
      <c r="F95" s="155">
        <v>3.4999999999999997E-5</v>
      </c>
      <c r="G95" s="155">
        <v>1.4155000000000001E-3</v>
      </c>
      <c r="H95" s="155">
        <v>9.9000000000000001E-6</v>
      </c>
      <c r="I95" s="94">
        <v>3.95E-2</v>
      </c>
      <c r="J95" s="94">
        <v>1E-3</v>
      </c>
      <c r="K95" s="96">
        <v>-55.34239793482665</v>
      </c>
      <c r="L95" s="96">
        <v>3.5216707863106045</v>
      </c>
      <c r="M95" s="96">
        <v>0.78230566816015923</v>
      </c>
      <c r="N95" s="155">
        <v>0.28114681701623662</v>
      </c>
      <c r="O95" s="99">
        <v>2862.0495955325191</v>
      </c>
      <c r="P95" s="99">
        <v>2956.1249258962584</v>
      </c>
      <c r="Q95" s="96">
        <v>-0.95736445783132529</v>
      </c>
    </row>
    <row r="96" spans="1:17">
      <c r="A96" s="3" t="s">
        <v>777</v>
      </c>
      <c r="B96" s="154">
        <v>2700000000</v>
      </c>
      <c r="C96" s="155">
        <v>0.28120600000000001</v>
      </c>
      <c r="D96" s="155">
        <v>2.1999999999999999E-5</v>
      </c>
      <c r="E96" s="155">
        <v>1.467144</v>
      </c>
      <c r="F96" s="155">
        <v>3.1000000000000001E-5</v>
      </c>
      <c r="G96" s="155">
        <v>8.8699999999999998E-4</v>
      </c>
      <c r="H96" s="155">
        <v>7.2000000000000002E-5</v>
      </c>
      <c r="I96" s="94">
        <v>2.4E-2</v>
      </c>
      <c r="J96" s="94">
        <v>1.6999999999999999E-3</v>
      </c>
      <c r="K96" s="96">
        <v>-55.83747369909964</v>
      </c>
      <c r="L96" s="96">
        <v>3.9957559077063998</v>
      </c>
      <c r="M96" s="96">
        <v>0.78234461569098801</v>
      </c>
      <c r="N96" s="155">
        <v>0.28116014107622883</v>
      </c>
      <c r="O96" s="99">
        <v>2841.731662292063</v>
      </c>
      <c r="P96" s="99">
        <v>2927.2128139983829</v>
      </c>
      <c r="Q96" s="96">
        <v>-0.97328313253012044</v>
      </c>
    </row>
    <row r="97" spans="1:17">
      <c r="A97" s="3" t="s">
        <v>778</v>
      </c>
      <c r="B97" s="154">
        <v>2700000000</v>
      </c>
      <c r="C97" s="155">
        <v>0.28123799999999999</v>
      </c>
      <c r="D97" s="155">
        <v>2.3E-5</v>
      </c>
      <c r="E97" s="155">
        <v>1.467157</v>
      </c>
      <c r="F97" s="155">
        <v>3.8000000000000002E-5</v>
      </c>
      <c r="G97" s="155">
        <v>1.5051999999999999E-3</v>
      </c>
      <c r="H97" s="155">
        <v>6.6000000000000003E-6</v>
      </c>
      <c r="I97" s="94">
        <v>4.1779999999999998E-2</v>
      </c>
      <c r="J97" s="94">
        <v>9.1E-4</v>
      </c>
      <c r="K97" s="96">
        <v>-54.705871952190897</v>
      </c>
      <c r="L97" s="96">
        <v>3.9971203186994764</v>
      </c>
      <c r="M97" s="96">
        <v>0.81781267111841227</v>
      </c>
      <c r="N97" s="155">
        <v>0.28116017942270527</v>
      </c>
      <c r="O97" s="99">
        <v>2844.0505001839256</v>
      </c>
      <c r="P97" s="99">
        <v>2927.1245467600811</v>
      </c>
      <c r="Q97" s="96">
        <v>-0.95466265060240962</v>
      </c>
    </row>
    <row r="98" spans="1:17">
      <c r="A98" s="34" t="s">
        <v>281</v>
      </c>
      <c r="B98" s="156">
        <f t="shared" ref="B98:Q98" si="8">AVERAGE(B86:B97)</f>
        <v>2700000000</v>
      </c>
      <c r="C98" s="157">
        <f t="shared" si="8"/>
        <v>0.28125716666666672</v>
      </c>
      <c r="D98" s="157">
        <f t="shared" si="8"/>
        <v>2.4666666666666669E-5</v>
      </c>
      <c r="E98" s="157">
        <f t="shared" si="8"/>
        <v>1.4671755</v>
      </c>
      <c r="F98" s="157">
        <f t="shared" si="8"/>
        <v>3.758333333333333E-5</v>
      </c>
      <c r="G98" s="157">
        <f t="shared" si="8"/>
        <v>1.8192416666666666E-3</v>
      </c>
      <c r="H98" s="157">
        <f t="shared" si="8"/>
        <v>3.2474999999999997E-5</v>
      </c>
      <c r="I98" s="158">
        <f t="shared" si="8"/>
        <v>5.1674166666666667E-2</v>
      </c>
      <c r="J98" s="158">
        <f t="shared" si="8"/>
        <v>1.1833333333333333E-3</v>
      </c>
      <c r="K98" s="159">
        <f t="shared" si="8"/>
        <v>-54.028089655864079</v>
      </c>
      <c r="L98" s="159">
        <f t="shared" si="8"/>
        <v>4.1013854865766062</v>
      </c>
      <c r="M98" s="159">
        <f t="shared" si="8"/>
        <v>0.87699249644581123</v>
      </c>
      <c r="N98" s="157">
        <f t="shared" si="8"/>
        <v>0.28116310977273989</v>
      </c>
      <c r="O98" s="160">
        <f t="shared" si="8"/>
        <v>2841.2977563102527</v>
      </c>
      <c r="P98" s="160">
        <f t="shared" si="8"/>
        <v>2920.7563762457453</v>
      </c>
      <c r="Q98" s="159">
        <f t="shared" si="8"/>
        <v>-0.94520356425702812</v>
      </c>
    </row>
    <row r="99" spans="1:17">
      <c r="A99" s="34" t="s">
        <v>204</v>
      </c>
      <c r="B99" s="156"/>
      <c r="C99" s="157">
        <f>STDEV(C86:C97)</f>
        <v>5.3470184271796838E-5</v>
      </c>
      <c r="D99" s="157">
        <f t="shared" ref="D99:Q99" si="9">STDEV(D86:D97)</f>
        <v>4.0973014031040959E-6</v>
      </c>
      <c r="E99" s="157">
        <f t="shared" si="9"/>
        <v>2.7201270023815562E-5</v>
      </c>
      <c r="F99" s="157">
        <f t="shared" si="9"/>
        <v>5.2649498544332751E-6</v>
      </c>
      <c r="G99" s="157">
        <f t="shared" si="9"/>
        <v>9.9100364319881936E-4</v>
      </c>
      <c r="H99" s="157">
        <f t="shared" si="9"/>
        <v>2.581666568851848E-5</v>
      </c>
      <c r="I99" s="157">
        <f t="shared" si="9"/>
        <v>2.9882614726271659E-2</v>
      </c>
      <c r="J99" s="157">
        <f t="shared" si="9"/>
        <v>5.9489240178117048E-4</v>
      </c>
      <c r="K99" s="159">
        <f t="shared" si="9"/>
        <v>1.8908423102991683</v>
      </c>
      <c r="L99" s="159">
        <f t="shared" si="9"/>
        <v>0.47668350102462059</v>
      </c>
      <c r="M99" s="159">
        <f t="shared" si="9"/>
        <v>0.14551823352630738</v>
      </c>
      <c r="N99" s="157">
        <f t="shared" si="9"/>
        <v>1.3397086890771244E-5</v>
      </c>
      <c r="O99" s="160">
        <f t="shared" si="9"/>
        <v>19.218224940117512</v>
      </c>
      <c r="P99" s="160">
        <f t="shared" si="9"/>
        <v>29.084906310324815</v>
      </c>
      <c r="Q99" s="159">
        <f t="shared" si="9"/>
        <v>2.9849507325265631E-2</v>
      </c>
    </row>
    <row r="100" spans="1:17">
      <c r="A100" s="34"/>
      <c r="B100" s="161"/>
      <c r="C100" s="157"/>
      <c r="D100" s="155"/>
      <c r="E100" s="155"/>
      <c r="F100" s="155"/>
      <c r="G100" s="155"/>
      <c r="H100" s="155"/>
      <c r="I100" s="94"/>
      <c r="J100" s="94"/>
      <c r="N100" s="155"/>
    </row>
    <row r="101" spans="1:17">
      <c r="B101" s="154"/>
      <c r="C101" s="155"/>
      <c r="D101" s="155"/>
      <c r="E101" s="155"/>
      <c r="F101" s="155"/>
      <c r="G101" s="155"/>
      <c r="H101" s="155"/>
      <c r="I101" s="94"/>
      <c r="J101" s="94"/>
      <c r="N101" s="155"/>
    </row>
    <row r="102" spans="1:17">
      <c r="A102" s="3" t="s">
        <v>779</v>
      </c>
      <c r="B102" s="154">
        <v>2700000000</v>
      </c>
      <c r="C102" s="155">
        <v>0.28129199999999999</v>
      </c>
      <c r="D102" s="155">
        <v>2.3E-5</v>
      </c>
      <c r="E102" s="155">
        <v>1.4671270000000001</v>
      </c>
      <c r="F102" s="155">
        <v>4.1E-5</v>
      </c>
      <c r="G102" s="155">
        <v>2.65E-3</v>
      </c>
      <c r="H102" s="155">
        <v>1.6000000000000001E-4</v>
      </c>
      <c r="I102" s="94">
        <v>7.5600000000000001E-2</v>
      </c>
      <c r="J102" s="94">
        <v>3.7000000000000002E-3</v>
      </c>
      <c r="K102" s="96">
        <v>-52.796294004279211</v>
      </c>
      <c r="L102" s="96">
        <v>3.8125438672231837</v>
      </c>
      <c r="M102" s="96">
        <v>0.81765567453038135</v>
      </c>
      <c r="N102" s="155">
        <v>0.28115499194138249</v>
      </c>
      <c r="O102" s="99">
        <v>2856.025945039506</v>
      </c>
      <c r="P102" s="99">
        <v>2938.3729715881341</v>
      </c>
      <c r="Q102" s="96">
        <v>-0.92018072289156627</v>
      </c>
    </row>
    <row r="103" spans="1:17">
      <c r="A103" s="3" t="s">
        <v>780</v>
      </c>
      <c r="B103" s="154">
        <v>2700000000</v>
      </c>
      <c r="C103" s="155">
        <v>0.28126899999999999</v>
      </c>
      <c r="D103" s="155">
        <v>3.4E-5</v>
      </c>
      <c r="E103" s="155">
        <v>1.46722</v>
      </c>
      <c r="F103" s="155">
        <v>3.8000000000000002E-5</v>
      </c>
      <c r="G103" s="155">
        <v>2.0600000000000002E-3</v>
      </c>
      <c r="H103" s="155">
        <v>1.2999999999999999E-4</v>
      </c>
      <c r="I103" s="94">
        <v>5.1499999999999997E-2</v>
      </c>
      <c r="J103" s="94">
        <v>3.3999999999999998E-3</v>
      </c>
      <c r="K103" s="96">
        <v>-53.609632759871182</v>
      </c>
      <c r="L103" s="96">
        <v>4.0795333214971308</v>
      </c>
      <c r="M103" s="96">
        <v>1.2088072272450927</v>
      </c>
      <c r="N103" s="155">
        <v>0.28116249562235773</v>
      </c>
      <c r="O103" s="99">
        <v>2843.0094176509033</v>
      </c>
      <c r="P103" s="99">
        <v>2922.0924033091378</v>
      </c>
      <c r="Q103" s="96">
        <v>-0.93795180722891569</v>
      </c>
    </row>
    <row r="104" spans="1:17">
      <c r="A104" s="3" t="s">
        <v>781</v>
      </c>
      <c r="B104" s="154">
        <v>2700000000</v>
      </c>
      <c r="C104" s="155">
        <v>0.28126099999999998</v>
      </c>
      <c r="D104" s="155">
        <v>2.4000000000000001E-5</v>
      </c>
      <c r="E104" s="155">
        <v>1.4671909999999999</v>
      </c>
      <c r="F104" s="155">
        <v>6.0999999999999999E-5</v>
      </c>
      <c r="G104" s="155">
        <v>2.2399999999999998E-3</v>
      </c>
      <c r="H104" s="155">
        <v>1.1E-4</v>
      </c>
      <c r="I104" s="94">
        <v>5.67E-2</v>
      </c>
      <c r="J104" s="94">
        <v>2.3999999999999998E-3</v>
      </c>
      <c r="K104" s="96">
        <v>-53.892533196598926</v>
      </c>
      <c r="L104" s="96">
        <v>3.4637588796782026</v>
      </c>
      <c r="M104" s="96">
        <v>0.85329995982379359</v>
      </c>
      <c r="N104" s="155">
        <v>0.28114518941460259</v>
      </c>
      <c r="O104" s="99">
        <v>2868.0240783691265</v>
      </c>
      <c r="P104" s="99">
        <v>2959.647464693488</v>
      </c>
      <c r="Q104" s="96">
        <v>-0.93253012048192774</v>
      </c>
    </row>
    <row r="105" spans="1:17">
      <c r="A105" s="3" t="s">
        <v>782</v>
      </c>
      <c r="B105" s="154">
        <v>2700000000</v>
      </c>
      <c r="C105" s="155">
        <v>0.28128599999999998</v>
      </c>
      <c r="D105" s="155">
        <v>2.5999999999999998E-5</v>
      </c>
      <c r="E105" s="155">
        <v>1.4672499999999999</v>
      </c>
      <c r="F105" s="155">
        <v>6.0999999999999999E-5</v>
      </c>
      <c r="G105" s="155">
        <v>2.029E-3</v>
      </c>
      <c r="H105" s="155">
        <v>3.6999999999999998E-5</v>
      </c>
      <c r="I105" s="94">
        <v>5.1470000000000002E-2</v>
      </c>
      <c r="J105" s="94">
        <v>7.9000000000000001E-4</v>
      </c>
      <c r="K105" s="96">
        <v>-53.008469331825566</v>
      </c>
      <c r="L105" s="96">
        <v>4.7414396965606009</v>
      </c>
      <c r="M105" s="96">
        <v>0.92432613069971481</v>
      </c>
      <c r="N105" s="155">
        <v>0.28118109835813776</v>
      </c>
      <c r="O105" s="99">
        <v>2816.9021532728693</v>
      </c>
      <c r="P105" s="99">
        <v>2881.7029152430569</v>
      </c>
      <c r="Q105" s="96">
        <v>-0.9388855421686747</v>
      </c>
    </row>
    <row r="106" spans="1:17">
      <c r="A106" s="3" t="s">
        <v>783</v>
      </c>
      <c r="B106" s="154">
        <v>2700000000</v>
      </c>
      <c r="C106" s="155">
        <v>0.28132099999999999</v>
      </c>
      <c r="D106" s="155">
        <v>5.8999999999999998E-5</v>
      </c>
      <c r="E106" s="155">
        <v>1.4672609999999999</v>
      </c>
      <c r="F106" s="155">
        <v>6.4999999999999994E-5</v>
      </c>
      <c r="G106" s="155">
        <v>3.5500000000000002E-3</v>
      </c>
      <c r="H106" s="155">
        <v>2.9E-4</v>
      </c>
      <c r="I106" s="94">
        <v>9.2200000000000004E-2</v>
      </c>
      <c r="J106" s="94">
        <v>8.2000000000000007E-3</v>
      </c>
      <c r="K106" s="96">
        <v>-51.770779921141987</v>
      </c>
      <c r="L106" s="96">
        <v>3.1887696834509427</v>
      </c>
      <c r="M106" s="96">
        <v>2.0972483390859553</v>
      </c>
      <c r="N106" s="155">
        <v>0.28113746090260677</v>
      </c>
      <c r="O106" s="99">
        <v>2885.5861226844313</v>
      </c>
      <c r="P106" s="99">
        <v>2976.3964263056596</v>
      </c>
      <c r="Q106" s="96">
        <v>-0.89307228915662651</v>
      </c>
    </row>
    <row r="107" spans="1:17">
      <c r="A107" s="3" t="s">
        <v>784</v>
      </c>
      <c r="B107" s="154">
        <v>2700000000</v>
      </c>
      <c r="C107" s="155">
        <v>0.28127799999999997</v>
      </c>
      <c r="D107" s="155">
        <v>2.5000000000000001E-5</v>
      </c>
      <c r="E107" s="155">
        <v>1.467206</v>
      </c>
      <c r="F107" s="155">
        <v>3.6999999999999998E-5</v>
      </c>
      <c r="G107" s="155">
        <v>1.908E-3</v>
      </c>
      <c r="H107" s="155">
        <v>3.3000000000000003E-5</v>
      </c>
      <c r="I107" s="94">
        <v>4.9599999999999998E-2</v>
      </c>
      <c r="J107" s="94">
        <v>1.5E-3</v>
      </c>
      <c r="K107" s="96">
        <v>-53.291369768553309</v>
      </c>
      <c r="L107" s="96">
        <v>4.6793804992772969</v>
      </c>
      <c r="M107" s="96">
        <v>0.88880040387090364</v>
      </c>
      <c r="N107" s="155">
        <v>0.28117935419779538</v>
      </c>
      <c r="O107" s="99">
        <v>2818.9437830484894</v>
      </c>
      <c r="P107" s="99">
        <v>2885.4913047438235</v>
      </c>
      <c r="Q107" s="96">
        <v>-0.94253012048192775</v>
      </c>
    </row>
    <row r="108" spans="1:17">
      <c r="A108" s="3" t="s">
        <v>785</v>
      </c>
      <c r="B108" s="154">
        <v>2700000000</v>
      </c>
      <c r="C108" s="155">
        <v>0.281277</v>
      </c>
      <c r="D108" s="155">
        <v>2.1999999999999999E-5</v>
      </c>
      <c r="E108" s="155">
        <v>1.4671719999999999</v>
      </c>
      <c r="F108" s="155">
        <v>3.4999999999999997E-5</v>
      </c>
      <c r="G108" s="155">
        <v>1.789E-3</v>
      </c>
      <c r="H108" s="155">
        <v>4.1E-5</v>
      </c>
      <c r="I108" s="94">
        <v>4.8399999999999999E-2</v>
      </c>
      <c r="J108" s="94">
        <v>1.9E-3</v>
      </c>
      <c r="K108" s="96">
        <v>-53.326732323143446</v>
      </c>
      <c r="L108" s="96">
        <v>4.8627100465514772</v>
      </c>
      <c r="M108" s="96">
        <v>0.78214713609715691</v>
      </c>
      <c r="N108" s="155">
        <v>0.28118450663514466</v>
      </c>
      <c r="O108" s="99">
        <v>2811.4055204231022</v>
      </c>
      <c r="P108" s="99">
        <v>2874.3020302653931</v>
      </c>
      <c r="Q108" s="96">
        <v>-0.94611445783132531</v>
      </c>
    </row>
    <row r="109" spans="1:17">
      <c r="A109" s="3" t="s">
        <v>786</v>
      </c>
      <c r="B109" s="154">
        <v>2700000000</v>
      </c>
      <c r="C109" s="155">
        <v>0.28134399999999998</v>
      </c>
      <c r="D109" s="155">
        <v>3.4E-5</v>
      </c>
      <c r="E109" s="155">
        <v>1.4672400000000001</v>
      </c>
      <c r="F109" s="155">
        <v>6.7999999999999999E-5</v>
      </c>
      <c r="G109" s="155">
        <v>3.2260000000000001E-3</v>
      </c>
      <c r="H109" s="155">
        <v>8.0000000000000007E-5</v>
      </c>
      <c r="I109" s="94">
        <v>8.2500000000000004E-2</v>
      </c>
      <c r="J109" s="94">
        <v>3.0000000000000001E-3</v>
      </c>
      <c r="K109" s="96">
        <v>-50.957441165551117</v>
      </c>
      <c r="L109" s="96">
        <v>4.6031614036246005</v>
      </c>
      <c r="M109" s="96">
        <v>1.2084849863512286</v>
      </c>
      <c r="N109" s="155">
        <v>0.28117721207656604</v>
      </c>
      <c r="O109" s="99">
        <v>2826.4899509096117</v>
      </c>
      <c r="P109" s="99">
        <v>2890.1349373202856</v>
      </c>
      <c r="Q109" s="96">
        <v>-0.9028313253012048</v>
      </c>
    </row>
    <row r="110" spans="1:17">
      <c r="A110" s="34" t="s">
        <v>281</v>
      </c>
      <c r="B110" s="156">
        <f t="shared" ref="B110:Q110" si="10">AVERAGE(B102:B109)</f>
        <v>2700000000</v>
      </c>
      <c r="C110" s="157">
        <f t="shared" si="10"/>
        <v>0.28129099999999996</v>
      </c>
      <c r="D110" s="157">
        <f t="shared" si="10"/>
        <v>3.0874999999999998E-5</v>
      </c>
      <c r="E110" s="157">
        <f t="shared" si="10"/>
        <v>1.467208375</v>
      </c>
      <c r="F110" s="157">
        <f t="shared" si="10"/>
        <v>5.0749999999999987E-5</v>
      </c>
      <c r="G110" s="157">
        <f t="shared" si="10"/>
        <v>2.4315000000000001E-3</v>
      </c>
      <c r="H110" s="157">
        <f t="shared" si="10"/>
        <v>1.1012500000000001E-4</v>
      </c>
      <c r="I110" s="157">
        <f t="shared" si="10"/>
        <v>6.349624999999999E-2</v>
      </c>
      <c r="J110" s="157">
        <f t="shared" si="10"/>
        <v>3.1112499999999999E-3</v>
      </c>
      <c r="K110" s="157">
        <f t="shared" si="10"/>
        <v>-52.831656558870591</v>
      </c>
      <c r="L110" s="159">
        <f>AVERAGE(L102:L109)</f>
        <v>4.178912174732929</v>
      </c>
      <c r="M110" s="159">
        <f t="shared" si="10"/>
        <v>1.0975962322130284</v>
      </c>
      <c r="N110" s="157">
        <f t="shared" si="10"/>
        <v>0.28116528864357415</v>
      </c>
      <c r="O110" s="160">
        <f t="shared" si="10"/>
        <v>2840.7983714247548</v>
      </c>
      <c r="P110" s="160">
        <f t="shared" si="10"/>
        <v>2916.0175566836224</v>
      </c>
      <c r="Q110" s="159">
        <f t="shared" si="10"/>
        <v>-0.92676204819277119</v>
      </c>
    </row>
    <row r="111" spans="1:17">
      <c r="A111" s="34" t="s">
        <v>204</v>
      </c>
      <c r="B111" s="156"/>
      <c r="C111" s="157">
        <f>STDEV(C102:C109)</f>
        <v>2.7989794058344491E-5</v>
      </c>
      <c r="D111" s="157">
        <f t="shared" ref="D111:Q111" si="11">STDEV(D102:D109)</f>
        <v>1.2287479109123354E-5</v>
      </c>
      <c r="E111" s="157">
        <f t="shared" si="11"/>
        <v>4.4545121586336473E-5</v>
      </c>
      <c r="F111" s="157">
        <f t="shared" si="11"/>
        <v>1.4169887589028864E-5</v>
      </c>
      <c r="G111" s="157">
        <f t="shared" si="11"/>
        <v>6.495673285239294E-4</v>
      </c>
      <c r="H111" s="157">
        <f t="shared" si="11"/>
        <v>8.6370361153084721E-5</v>
      </c>
      <c r="I111" s="157">
        <f t="shared" si="11"/>
        <v>1.7267975261820914E-2</v>
      </c>
      <c r="J111" s="157">
        <f t="shared" si="11"/>
        <v>2.2770622521134562E-3</v>
      </c>
      <c r="K111" s="157">
        <f t="shared" si="11"/>
        <v>0.98979062037739673</v>
      </c>
      <c r="L111" s="159">
        <f t="shared" si="11"/>
        <v>0.63812235460118738</v>
      </c>
      <c r="M111" s="159">
        <f t="shared" si="11"/>
        <v>0.43673173831747125</v>
      </c>
      <c r="N111" s="157">
        <f t="shared" si="11"/>
        <v>1.793429101942969E-5</v>
      </c>
      <c r="O111" s="160">
        <f t="shared" si="11"/>
        <v>26.995429157619341</v>
      </c>
      <c r="P111" s="160">
        <f t="shared" si="11"/>
        <v>38.923527426048985</v>
      </c>
      <c r="Q111" s="159">
        <f t="shared" si="11"/>
        <v>1.9565280979636435E-2</v>
      </c>
    </row>
    <row r="112" spans="1:17">
      <c r="A112" s="3" t="s">
        <v>787</v>
      </c>
      <c r="B112" s="154">
        <v>2700000000</v>
      </c>
      <c r="C112" s="155">
        <v>0.28132200000000002</v>
      </c>
      <c r="D112" s="155">
        <v>2.6999999999999999E-5</v>
      </c>
      <c r="E112" s="155">
        <v>1.4671160000000001</v>
      </c>
      <c r="F112" s="155">
        <v>4.5000000000000003E-5</v>
      </c>
      <c r="G112" s="155">
        <v>2.7299999999999998E-3</v>
      </c>
      <c r="H112" s="155">
        <v>1.1E-4</v>
      </c>
      <c r="I112" s="94">
        <v>7.8399999999999997E-2</v>
      </c>
      <c r="J112" s="94">
        <v>2.5000000000000001E-3</v>
      </c>
      <c r="K112" s="96">
        <v>-51.735417366550742</v>
      </c>
      <c r="L112" s="96">
        <v>4.7328109488797843</v>
      </c>
      <c r="M112" s="96">
        <v>0.95975430289845787</v>
      </c>
      <c r="N112" s="155">
        <v>0.28118085584904695</v>
      </c>
      <c r="O112" s="99" t="s">
        <v>454</v>
      </c>
    </row>
    <row r="113" spans="1:17">
      <c r="B113" s="166"/>
      <c r="C113" s="155"/>
      <c r="D113" s="155"/>
      <c r="E113" s="155"/>
      <c r="F113" s="155"/>
      <c r="G113" s="155"/>
      <c r="H113" s="155"/>
      <c r="I113" s="94"/>
      <c r="J113" s="94"/>
      <c r="N113" s="155"/>
    </row>
    <row r="114" spans="1:17">
      <c r="A114" s="3" t="s">
        <v>788</v>
      </c>
      <c r="B114" s="154">
        <v>2691000000</v>
      </c>
      <c r="C114" s="155">
        <v>0.281225</v>
      </c>
      <c r="D114" s="155">
        <v>2.5000000000000001E-5</v>
      </c>
      <c r="E114" s="155">
        <v>1.4671829999999999</v>
      </c>
      <c r="F114" s="155">
        <v>4.6999999999999997E-5</v>
      </c>
      <c r="G114" s="155">
        <v>1.119E-3</v>
      </c>
      <c r="H114" s="155">
        <v>1.9000000000000001E-5</v>
      </c>
      <c r="I114" s="94">
        <v>3.1980000000000001E-2</v>
      </c>
      <c r="J114" s="94">
        <v>9.6000000000000002E-4</v>
      </c>
      <c r="K114" s="96">
        <v>-55.165585161872642</v>
      </c>
      <c r="L114" s="96">
        <v>3.9953165343664665</v>
      </c>
      <c r="M114" s="96">
        <v>0.88896790825851191</v>
      </c>
      <c r="N114" s="155">
        <v>0.28116734413855171</v>
      </c>
      <c r="O114" s="99">
        <v>2833.0672461610625</v>
      </c>
      <c r="P114" s="99">
        <v>2918.5286753901955</v>
      </c>
      <c r="Q114" s="96">
        <v>-0.96629518072289156</v>
      </c>
    </row>
    <row r="115" spans="1:17">
      <c r="A115" s="3" t="s">
        <v>789</v>
      </c>
      <c r="B115" s="154">
        <v>2691000000</v>
      </c>
      <c r="C115" s="155">
        <v>0.281277</v>
      </c>
      <c r="D115" s="155">
        <v>3.1000000000000001E-5</v>
      </c>
      <c r="E115" s="155">
        <v>1.467044</v>
      </c>
      <c r="F115" s="155">
        <v>5.1999999999999997E-5</v>
      </c>
      <c r="G115" s="155">
        <v>1.82E-3</v>
      </c>
      <c r="H115" s="155">
        <v>2.9999999999999997E-4</v>
      </c>
      <c r="I115" s="94">
        <v>6.2E-2</v>
      </c>
      <c r="J115" s="94">
        <v>1.2E-2</v>
      </c>
      <c r="K115" s="96">
        <v>-53.326732323143446</v>
      </c>
      <c r="L115" s="96">
        <v>4.5613579614411925</v>
      </c>
      <c r="M115" s="96">
        <v>1.1021164190459938</v>
      </c>
      <c r="N115" s="155">
        <v>0.28118322549791253</v>
      </c>
      <c r="O115" s="99">
        <v>2813.7265683124951</v>
      </c>
      <c r="P115" s="99">
        <v>2883.9785414047465</v>
      </c>
      <c r="Q115" s="96">
        <v>-0.94518072289156629</v>
      </c>
    </row>
    <row r="116" spans="1:17">
      <c r="A116" s="3" t="s">
        <v>790</v>
      </c>
      <c r="B116" s="154">
        <v>2691000000</v>
      </c>
      <c r="C116" s="155">
        <v>0.28124500000000002</v>
      </c>
      <c r="D116" s="155">
        <v>2.1999999999999999E-5</v>
      </c>
      <c r="E116" s="155">
        <v>1.4671890000000001</v>
      </c>
      <c r="F116" s="155">
        <v>4.0000000000000003E-5</v>
      </c>
      <c r="G116" s="155">
        <v>1.1440000000000001E-3</v>
      </c>
      <c r="H116" s="155">
        <v>4.5000000000000003E-5</v>
      </c>
      <c r="I116" s="94">
        <v>3.1460000000000002E-2</v>
      </c>
      <c r="J116" s="94">
        <v>7.2999999999999996E-4</v>
      </c>
      <c r="K116" s="96">
        <v>-54.458334070052182</v>
      </c>
      <c r="L116" s="96">
        <v>4.6611244290706288</v>
      </c>
      <c r="M116" s="96">
        <v>0.78223612864228687</v>
      </c>
      <c r="N116" s="155">
        <v>0.28118605602725932</v>
      </c>
      <c r="O116" s="99">
        <v>2807.6408174277781</v>
      </c>
      <c r="P116" s="99">
        <v>2877.892405730312</v>
      </c>
      <c r="Q116" s="96">
        <v>-0.96554216867469878</v>
      </c>
    </row>
    <row r="117" spans="1:17">
      <c r="A117" s="3" t="s">
        <v>791</v>
      </c>
      <c r="B117" s="154">
        <v>2691000000</v>
      </c>
      <c r="C117" s="155">
        <v>0.281219</v>
      </c>
      <c r="D117" s="155">
        <v>1.9000000000000001E-5</v>
      </c>
      <c r="E117" s="155">
        <v>1.467185</v>
      </c>
      <c r="F117" s="155">
        <v>3.6999999999999998E-5</v>
      </c>
      <c r="G117" s="155">
        <v>7.9199999999999995E-4</v>
      </c>
      <c r="H117" s="155">
        <v>1.4E-5</v>
      </c>
      <c r="I117" s="94">
        <v>2.1610000000000001E-2</v>
      </c>
      <c r="J117" s="94">
        <v>5.4000000000000001E-4</v>
      </c>
      <c r="K117" s="96">
        <v>-55.377760489417895</v>
      </c>
      <c r="L117" s="96">
        <v>4.3808514964260858</v>
      </c>
      <c r="M117" s="96">
        <v>0.67563002499831104</v>
      </c>
      <c r="N117" s="155">
        <v>0.28117819263425642</v>
      </c>
      <c r="O117" s="99">
        <v>2817.1766672929916</v>
      </c>
      <c r="P117" s="99">
        <v>2895.002910408326</v>
      </c>
      <c r="Q117" s="96">
        <v>-0.97614457831325296</v>
      </c>
    </row>
    <row r="118" spans="1:17">
      <c r="A118" s="3" t="s">
        <v>792</v>
      </c>
      <c r="B118" s="154">
        <v>2691000000</v>
      </c>
      <c r="C118" s="155">
        <v>0.28121499999999999</v>
      </c>
      <c r="D118" s="155">
        <v>2.4000000000000001E-5</v>
      </c>
      <c r="E118" s="155">
        <v>1.4671620000000001</v>
      </c>
      <c r="F118" s="155">
        <v>4.1999999999999998E-5</v>
      </c>
      <c r="G118" s="155">
        <v>7.1250000000000003E-4</v>
      </c>
      <c r="H118" s="155">
        <v>5.5999999999999997E-6</v>
      </c>
      <c r="I118" s="94">
        <v>1.9890000000000001E-2</v>
      </c>
      <c r="J118" s="94">
        <v>4.2000000000000002E-4</v>
      </c>
      <c r="K118" s="96">
        <v>-55.519210707781767</v>
      </c>
      <c r="L118" s="96">
        <v>4.3841630352337013</v>
      </c>
      <c r="M118" s="96">
        <v>0.85343953914264892</v>
      </c>
      <c r="N118" s="155">
        <v>0.28117828882816631</v>
      </c>
      <c r="O118" s="99">
        <v>2816.7811083546358</v>
      </c>
      <c r="P118" s="99">
        <v>2894.8013043211681</v>
      </c>
      <c r="Q118" s="96">
        <v>-0.97853915662650603</v>
      </c>
    </row>
    <row r="119" spans="1:17">
      <c r="A119" s="3" t="s">
        <v>793</v>
      </c>
      <c r="B119" s="154">
        <v>2691000000</v>
      </c>
      <c r="C119" s="155">
        <v>0.28121099999999999</v>
      </c>
      <c r="D119" s="155">
        <v>2.4000000000000001E-5</v>
      </c>
      <c r="E119" s="155">
        <v>1.467136</v>
      </c>
      <c r="F119" s="155">
        <v>2.9E-5</v>
      </c>
      <c r="G119" s="155">
        <v>8.6499999999999999E-4</v>
      </c>
      <c r="H119" s="155">
        <v>1.1E-5</v>
      </c>
      <c r="I119" s="94">
        <v>2.368E-2</v>
      </c>
      <c r="J119" s="94">
        <v>6.6E-4</v>
      </c>
      <c r="K119" s="96">
        <v>-55.660660926145631</v>
      </c>
      <c r="L119" s="96">
        <v>3.9624844623964428</v>
      </c>
      <c r="M119" s="96">
        <v>0.85345167863277049</v>
      </c>
      <c r="N119" s="155">
        <v>0.2811664313492826</v>
      </c>
      <c r="O119" s="99">
        <v>2833.3425787510914</v>
      </c>
      <c r="P119" s="99">
        <v>2920.5341321975307</v>
      </c>
      <c r="Q119" s="96">
        <v>-0.97394578313253011</v>
      </c>
    </row>
    <row r="120" spans="1:17">
      <c r="A120" s="3" t="s">
        <v>794</v>
      </c>
      <c r="B120" s="154">
        <v>2691000000</v>
      </c>
      <c r="C120" s="155">
        <v>0.28124700000000002</v>
      </c>
      <c r="D120" s="155">
        <v>2.1999999999999999E-5</v>
      </c>
      <c r="E120" s="155">
        <v>1.467157</v>
      </c>
      <c r="F120" s="155">
        <v>3.3000000000000003E-5</v>
      </c>
      <c r="G120" s="155">
        <v>1.3470000000000001E-3</v>
      </c>
      <c r="H120" s="155">
        <v>7.3999999999999996E-5</v>
      </c>
      <c r="I120" s="94">
        <v>4.07E-2</v>
      </c>
      <c r="J120" s="94">
        <v>3.0000000000000001E-3</v>
      </c>
      <c r="K120" s="96">
        <v>-54.387608960870807</v>
      </c>
      <c r="L120" s="96">
        <v>4.36041850567781</v>
      </c>
      <c r="M120" s="96">
        <v>0.78223056601492635</v>
      </c>
      <c r="N120" s="155">
        <v>0.28117759656356495</v>
      </c>
      <c r="O120" s="99">
        <v>2819.8818171728299</v>
      </c>
      <c r="P120" s="99">
        <v>2896.2463235771311</v>
      </c>
      <c r="Q120" s="96">
        <v>-0.95942771084337353</v>
      </c>
    </row>
    <row r="121" spans="1:17">
      <c r="A121" s="3" t="s">
        <v>795</v>
      </c>
      <c r="B121" s="154">
        <v>2691000000</v>
      </c>
      <c r="C121" s="155">
        <v>0.28121299999999999</v>
      </c>
      <c r="D121" s="155">
        <v>2.0999999999999999E-5</v>
      </c>
      <c r="E121" s="155">
        <v>1.4671529999999999</v>
      </c>
      <c r="F121" s="155">
        <v>3.4999999999999997E-5</v>
      </c>
      <c r="G121" s="155">
        <v>9.1699999999999995E-4</v>
      </c>
      <c r="H121" s="155">
        <v>3.8999999999999999E-5</v>
      </c>
      <c r="I121" s="94">
        <v>2.64E-2</v>
      </c>
      <c r="J121" s="94">
        <v>1.1999999999999999E-3</v>
      </c>
      <c r="K121" s="96">
        <v>-55.589935816964257</v>
      </c>
      <c r="L121" s="96">
        <v>3.9383884823562809</v>
      </c>
      <c r="M121" s="96">
        <v>0.74676490773897364</v>
      </c>
      <c r="N121" s="155">
        <v>0.28116575207779437</v>
      </c>
      <c r="O121" s="99">
        <v>2834.4604190282053</v>
      </c>
      <c r="P121" s="99">
        <v>2922.0039695057358</v>
      </c>
      <c r="Q121" s="96">
        <v>-0.97237951807228917</v>
      </c>
    </row>
    <row r="122" spans="1:17">
      <c r="A122" s="3" t="s">
        <v>796</v>
      </c>
      <c r="B122" s="154">
        <v>2691000000</v>
      </c>
      <c r="C122" s="155">
        <v>0.28127200000000002</v>
      </c>
      <c r="D122" s="155">
        <v>2.1999999999999999E-5</v>
      </c>
      <c r="E122" s="155">
        <v>1.467163</v>
      </c>
      <c r="F122" s="155">
        <v>3.4999999999999997E-5</v>
      </c>
      <c r="G122" s="155">
        <v>2.2369999999999998E-3</v>
      </c>
      <c r="H122" s="155">
        <v>4.8000000000000001E-5</v>
      </c>
      <c r="I122" s="94">
        <v>6.7040000000000002E-2</v>
      </c>
      <c r="J122" s="94">
        <v>8.0999999999999996E-4</v>
      </c>
      <c r="K122" s="96">
        <v>-53.503545096097447</v>
      </c>
      <c r="L122" s="96">
        <v>3.6195738121058696</v>
      </c>
      <c r="M122" s="96">
        <v>0.7821610398475497</v>
      </c>
      <c r="N122" s="155">
        <v>0.28115673980155514</v>
      </c>
      <c r="O122" s="99">
        <v>2852.3472060327208</v>
      </c>
      <c r="P122" s="99">
        <v>2941.4412398188583</v>
      </c>
      <c r="Q122" s="96">
        <v>-0.93262048192771085</v>
      </c>
    </row>
    <row r="123" spans="1:17">
      <c r="A123" s="3" t="s">
        <v>797</v>
      </c>
      <c r="B123" s="154">
        <v>2691000000</v>
      </c>
      <c r="C123" s="155">
        <v>0.28122900000000001</v>
      </c>
      <c r="D123" s="155">
        <v>2.0000000000000002E-5</v>
      </c>
      <c r="E123" s="155">
        <v>1.4671620000000001</v>
      </c>
      <c r="F123" s="155">
        <v>3.3000000000000003E-5</v>
      </c>
      <c r="G123" s="155">
        <v>8.7900000000000001E-4</v>
      </c>
      <c r="H123" s="155">
        <v>4.8999999999999998E-5</v>
      </c>
      <c r="I123" s="94">
        <v>2.58E-2</v>
      </c>
      <c r="J123" s="94">
        <v>1.8E-3</v>
      </c>
      <c r="K123" s="96">
        <v>-55.02413494350877</v>
      </c>
      <c r="L123" s="96">
        <v>4.5772823260326057</v>
      </c>
      <c r="M123" s="96">
        <v>0.71116421137222696</v>
      </c>
      <c r="N123" s="155">
        <v>0.28118371000695885</v>
      </c>
      <c r="O123" s="99">
        <v>2809.9958177723315</v>
      </c>
      <c r="P123" s="99">
        <v>2883.0121401126348</v>
      </c>
      <c r="Q123" s="96">
        <v>-0.97352409638554216</v>
      </c>
    </row>
    <row r="124" spans="1:17">
      <c r="A124" s="3" t="s">
        <v>798</v>
      </c>
      <c r="B124" s="154">
        <v>2691000000</v>
      </c>
      <c r="C124" s="155">
        <v>0.28121200000000002</v>
      </c>
      <c r="D124" s="155">
        <v>2.1999999999999999E-5</v>
      </c>
      <c r="E124" s="155">
        <v>1.4671970000000001</v>
      </c>
      <c r="F124" s="155">
        <v>3.3000000000000003E-5</v>
      </c>
      <c r="G124" s="155">
        <v>7.291E-4</v>
      </c>
      <c r="H124" s="155">
        <v>8.3999999999999992E-6</v>
      </c>
      <c r="I124" s="94">
        <v>2.0160000000000001E-2</v>
      </c>
      <c r="J124" s="94">
        <v>5.5000000000000003E-4</v>
      </c>
      <c r="K124" s="96">
        <v>-55.625298371554386</v>
      </c>
      <c r="L124" s="96">
        <v>4.2470136235639444</v>
      </c>
      <c r="M124" s="96">
        <v>0.78232792341720836</v>
      </c>
      <c r="N124" s="155">
        <v>0.28117443352226817</v>
      </c>
      <c r="O124" s="99">
        <v>2822.0370015485355</v>
      </c>
      <c r="P124" s="99">
        <v>2903.1719479331077</v>
      </c>
      <c r="Q124" s="96">
        <v>-0.97803915662650598</v>
      </c>
    </row>
    <row r="125" spans="1:17">
      <c r="A125" s="3" t="s">
        <v>799</v>
      </c>
      <c r="B125" s="154">
        <v>2691000000</v>
      </c>
      <c r="C125" s="155">
        <v>0.28125099999999997</v>
      </c>
      <c r="D125" s="155">
        <v>2.5000000000000001E-5</v>
      </c>
      <c r="E125" s="155">
        <v>1.4671650000000001</v>
      </c>
      <c r="F125" s="155">
        <v>3.8999999999999999E-5</v>
      </c>
      <c r="G125" s="155">
        <v>1.1199999999999999E-3</v>
      </c>
      <c r="H125" s="155">
        <v>1.8000000000000001E-4</v>
      </c>
      <c r="I125" s="94">
        <v>3.5000000000000003E-2</v>
      </c>
      <c r="J125" s="94">
        <v>6.4999999999999997E-3</v>
      </c>
      <c r="K125" s="96">
        <v>-54.246158742509152</v>
      </c>
      <c r="L125" s="96">
        <v>4.9185701962617401</v>
      </c>
      <c r="M125" s="96">
        <v>0.8888857284062992</v>
      </c>
      <c r="N125" s="155">
        <v>0.28119329261409998</v>
      </c>
      <c r="O125" s="99">
        <v>2797.6987196752184</v>
      </c>
      <c r="P125" s="99">
        <v>2862.174712371459</v>
      </c>
      <c r="Q125" s="96">
        <v>-0.96626506024096381</v>
      </c>
    </row>
    <row r="126" spans="1:17">
      <c r="A126" s="34" t="s">
        <v>281</v>
      </c>
      <c r="B126" s="156">
        <f t="shared" ref="B126:Q126" si="12">AVERAGE(B114:B125)</f>
        <v>2691000000</v>
      </c>
      <c r="C126" s="157">
        <f t="shared" si="12"/>
        <v>0.28123466666666669</v>
      </c>
      <c r="D126" s="157">
        <f t="shared" si="12"/>
        <v>2.3083333333333333E-5</v>
      </c>
      <c r="E126" s="157">
        <f t="shared" si="12"/>
        <v>1.4671580000000002</v>
      </c>
      <c r="F126" s="157">
        <f t="shared" si="12"/>
        <v>3.7916666666666655E-5</v>
      </c>
      <c r="G126" s="157">
        <f t="shared" si="12"/>
        <v>1.1401333333333331E-3</v>
      </c>
      <c r="H126" s="157">
        <f t="shared" si="12"/>
        <v>6.6083333333333331E-5</v>
      </c>
      <c r="I126" s="158">
        <f t="shared" si="12"/>
        <v>3.381E-2</v>
      </c>
      <c r="J126" s="158">
        <f t="shared" si="12"/>
        <v>2.430833333333333E-3</v>
      </c>
      <c r="K126" s="159">
        <f t="shared" si="12"/>
        <v>-54.823747134159873</v>
      </c>
      <c r="L126" s="159">
        <f t="shared" si="12"/>
        <v>4.3005454054110643</v>
      </c>
      <c r="M126" s="159">
        <f t="shared" si="12"/>
        <v>0.82078133962647548</v>
      </c>
      <c r="N126" s="158">
        <f t="shared" si="12"/>
        <v>0.2811759219218059</v>
      </c>
      <c r="O126" s="160">
        <f t="shared" si="12"/>
        <v>2821.5129972941581</v>
      </c>
      <c r="P126" s="160">
        <f t="shared" si="12"/>
        <v>2899.8990252309336</v>
      </c>
      <c r="Q126" s="159">
        <f t="shared" si="12"/>
        <v>-0.96565863453815259</v>
      </c>
    </row>
    <row r="127" spans="1:17">
      <c r="A127" s="34" t="s">
        <v>204</v>
      </c>
      <c r="B127" s="156"/>
      <c r="C127" s="157">
        <f>STDEV(C114:C125)</f>
        <v>2.3379607794106793E-5</v>
      </c>
      <c r="D127" s="157">
        <f t="shared" ref="D127:Q127" si="13">STDEV(D114:D125)</f>
        <v>3.1176428547376906E-6</v>
      </c>
      <c r="E127" s="157">
        <f t="shared" si="13"/>
        <v>3.9826898174251087E-5</v>
      </c>
      <c r="F127" s="157">
        <f t="shared" si="13"/>
        <v>6.5568608527575326E-6</v>
      </c>
      <c r="G127" s="157">
        <f t="shared" si="13"/>
        <v>4.6472756894048512E-4</v>
      </c>
      <c r="H127" s="157">
        <f t="shared" si="13"/>
        <v>8.7647453246549379E-5</v>
      </c>
      <c r="I127" s="157">
        <f t="shared" si="13"/>
        <v>1.5688103773241695E-2</v>
      </c>
      <c r="J127" s="157">
        <f t="shared" si="13"/>
        <v>3.4685508064564515E-3</v>
      </c>
      <c r="K127" s="159">
        <f t="shared" si="13"/>
        <v>0.82676265693390205</v>
      </c>
      <c r="L127" s="159">
        <f t="shared" si="13"/>
        <v>0.36665559959005062</v>
      </c>
      <c r="M127" s="159">
        <f t="shared" si="13"/>
        <v>0.11081364012475721</v>
      </c>
      <c r="N127" s="157">
        <f t="shared" si="13"/>
        <v>1.0309944335788431E-5</v>
      </c>
      <c r="O127" s="160">
        <f t="shared" si="13"/>
        <v>14.736426036003197</v>
      </c>
      <c r="P127" s="160">
        <f t="shared" si="13"/>
        <v>22.375539377714077</v>
      </c>
      <c r="Q127" s="159">
        <f t="shared" si="13"/>
        <v>1.3997818341580863E-2</v>
      </c>
    </row>
    <row r="128" spans="1:17">
      <c r="A128" s="34"/>
      <c r="B128" s="161"/>
      <c r="C128" s="157"/>
      <c r="D128" s="155"/>
      <c r="E128" s="155"/>
      <c r="F128" s="155"/>
      <c r="G128" s="155"/>
      <c r="H128" s="155"/>
      <c r="I128" s="94"/>
      <c r="J128" s="94"/>
      <c r="N128" s="155"/>
    </row>
    <row r="129" spans="1:17">
      <c r="A129" s="111" t="s">
        <v>800</v>
      </c>
      <c r="B129" s="162">
        <v>2691000000</v>
      </c>
      <c r="C129" s="163">
        <v>0.281246</v>
      </c>
      <c r="D129" s="163">
        <v>2.0999999999999999E-5</v>
      </c>
      <c r="E129" s="163">
        <v>1.467171</v>
      </c>
      <c r="F129" s="163">
        <v>3.3000000000000003E-5</v>
      </c>
      <c r="G129" s="163">
        <v>1.707E-3</v>
      </c>
      <c r="H129" s="163">
        <v>4.0000000000000003E-5</v>
      </c>
      <c r="I129" s="114">
        <v>5.1400000000000001E-2</v>
      </c>
      <c r="J129" s="114">
        <v>1.4E-3</v>
      </c>
      <c r="K129" s="116">
        <v>-54.422971515463161</v>
      </c>
      <c r="L129" s="116">
        <v>3.7099425789088869</v>
      </c>
      <c r="M129" s="116">
        <v>0.74667728607695749</v>
      </c>
      <c r="N129" s="163">
        <v>0.28115804776095421</v>
      </c>
    </row>
    <row r="130" spans="1:17">
      <c r="A130" s="111" t="s">
        <v>801</v>
      </c>
      <c r="B130" s="162">
        <v>2691000000</v>
      </c>
      <c r="C130" s="163">
        <v>0.28131600000000001</v>
      </c>
      <c r="D130" s="163">
        <v>3.3000000000000003E-5</v>
      </c>
      <c r="E130" s="163">
        <v>1.4671810000000001</v>
      </c>
      <c r="F130" s="163">
        <v>3.6999999999999998E-5</v>
      </c>
      <c r="G130" s="163">
        <v>3.0400000000000002E-3</v>
      </c>
      <c r="H130" s="163">
        <v>2.1000000000000001E-4</v>
      </c>
      <c r="I130" s="114">
        <v>9.2899999999999996E-2</v>
      </c>
      <c r="J130" s="114">
        <v>4.5999999999999999E-3</v>
      </c>
      <c r="K130" s="116">
        <v>-51.947592694095988</v>
      </c>
      <c r="L130" s="116">
        <v>3.756834170123291</v>
      </c>
      <c r="M130" s="116">
        <v>1.1730580557095935</v>
      </c>
      <c r="N130" s="163">
        <v>0.28115936566684291</v>
      </c>
    </row>
    <row r="131" spans="1:17">
      <c r="A131" s="111" t="s">
        <v>802</v>
      </c>
      <c r="B131" s="162">
        <v>2691000000</v>
      </c>
      <c r="C131" s="163">
        <v>0.28139799999999998</v>
      </c>
      <c r="D131" s="163">
        <v>2.8E-5</v>
      </c>
      <c r="E131" s="163">
        <v>1.4671909999999999</v>
      </c>
      <c r="F131" s="163">
        <v>3.8000000000000002E-5</v>
      </c>
      <c r="G131" s="163">
        <v>3.8639999999999998E-3</v>
      </c>
      <c r="H131" s="163">
        <v>8.5000000000000006E-5</v>
      </c>
      <c r="I131" s="114">
        <v>0.11849999999999999</v>
      </c>
      <c r="J131" s="114">
        <v>3.0999999999999999E-3</v>
      </c>
      <c r="K131" s="116">
        <v>-49.047863217639431</v>
      </c>
      <c r="L131" s="116">
        <v>5.163819410600734</v>
      </c>
      <c r="M131" s="116">
        <v>0.99503194763289005</v>
      </c>
      <c r="N131" s="163">
        <v>0.28119890951864507</v>
      </c>
      <c r="Q131" s="96"/>
    </row>
    <row r="132" spans="1:17">
      <c r="A132" s="34"/>
      <c r="B132" s="161"/>
      <c r="C132" s="157"/>
      <c r="D132" s="155"/>
      <c r="E132" s="155"/>
      <c r="F132" s="155"/>
      <c r="G132" s="155"/>
      <c r="H132" s="155"/>
      <c r="I132" s="94"/>
      <c r="J132" s="94"/>
      <c r="N132" s="155"/>
    </row>
    <row r="133" spans="1:17">
      <c r="B133" s="161"/>
      <c r="C133" s="155"/>
      <c r="D133" s="155"/>
      <c r="E133" s="155"/>
      <c r="F133" s="155"/>
      <c r="G133" s="155"/>
      <c r="H133" s="155"/>
      <c r="I133" s="94"/>
      <c r="J133" s="94"/>
      <c r="N133" s="155"/>
    </row>
    <row r="134" spans="1:17">
      <c r="A134" s="3" t="s">
        <v>803</v>
      </c>
      <c r="B134" s="154">
        <v>2693000000</v>
      </c>
      <c r="C134" s="155">
        <v>0.28121800000000002</v>
      </c>
      <c r="D134" s="155">
        <v>2.1999999999999999E-5</v>
      </c>
      <c r="E134" s="155">
        <v>1.4672050000000001</v>
      </c>
      <c r="F134" s="155">
        <v>3.1999999999999999E-5</v>
      </c>
      <c r="G134" s="155">
        <v>7.7800000000000005E-4</v>
      </c>
      <c r="H134" s="155">
        <v>1.9000000000000001E-5</v>
      </c>
      <c r="I134" s="94">
        <v>2.2550000000000001E-2</v>
      </c>
      <c r="J134" s="94">
        <v>3.4000000000000002E-4</v>
      </c>
      <c r="K134" s="96">
        <v>-55.413123044008032</v>
      </c>
      <c r="L134" s="96">
        <v>4.3709172392936146</v>
      </c>
      <c r="M134" s="96">
        <v>0.78231123185571327</v>
      </c>
      <c r="N134" s="155">
        <v>0.28117788342867778</v>
      </c>
      <c r="O134" s="99">
        <v>2817.5061620536371</v>
      </c>
      <c r="P134" s="99">
        <v>2895.6093516573478</v>
      </c>
      <c r="Q134" s="167">
        <v>-0.97656626506024091</v>
      </c>
    </row>
    <row r="135" spans="1:17">
      <c r="A135" s="3" t="s">
        <v>804</v>
      </c>
      <c r="B135" s="154">
        <v>2693000000</v>
      </c>
      <c r="C135" s="155">
        <v>0.28123599999999999</v>
      </c>
      <c r="D135" s="155">
        <v>2.0999999999999999E-5</v>
      </c>
      <c r="E135" s="155">
        <v>1.467174</v>
      </c>
      <c r="F135" s="155">
        <v>3.4999999999999997E-5</v>
      </c>
      <c r="G135" s="155">
        <v>8.6899999999999998E-4</v>
      </c>
      <c r="H135" s="155">
        <v>3.0000000000000001E-5</v>
      </c>
      <c r="I135" s="94">
        <v>2.359E-2</v>
      </c>
      <c r="J135" s="94">
        <v>7.1000000000000002E-4</v>
      </c>
      <c r="K135" s="96">
        <v>-54.776597061372279</v>
      </c>
      <c r="L135" s="96">
        <v>4.8446623503561881</v>
      </c>
      <c r="M135" s="96">
        <v>0.74670383592427703</v>
      </c>
      <c r="N135" s="155">
        <v>0.28119119113048968</v>
      </c>
      <c r="O135" s="99">
        <v>2799.786064758764</v>
      </c>
      <c r="P135" s="99">
        <v>2866.6885383103067</v>
      </c>
      <c r="Q135" s="96">
        <v>-0.97382530120481925</v>
      </c>
    </row>
    <row r="136" spans="1:17">
      <c r="A136" s="3" t="s">
        <v>805</v>
      </c>
      <c r="B136" s="154">
        <v>2693000000</v>
      </c>
      <c r="C136" s="155">
        <v>0.28118500000000002</v>
      </c>
      <c r="D136" s="155">
        <v>1.9000000000000001E-5</v>
      </c>
      <c r="E136" s="155">
        <v>1.4671749999999999</v>
      </c>
      <c r="F136" s="155">
        <v>3.0000000000000001E-5</v>
      </c>
      <c r="G136" s="155">
        <v>6.5899999999999997E-4</v>
      </c>
      <c r="H136" s="155">
        <v>2.5999999999999998E-5</v>
      </c>
      <c r="I136" s="94">
        <v>1.847E-2</v>
      </c>
      <c r="J136" s="94">
        <v>5.5999999999999995E-4</v>
      </c>
      <c r="K136" s="96">
        <v>-56.580087345509121</v>
      </c>
      <c r="L136" s="96">
        <v>3.4147608560464171</v>
      </c>
      <c r="M136" s="96">
        <v>0.67571172004196522</v>
      </c>
      <c r="N136" s="155">
        <v>0.28115101951092369</v>
      </c>
      <c r="O136" s="99">
        <v>2853.2735951979148</v>
      </c>
      <c r="P136" s="99">
        <v>2953.9508442890815</v>
      </c>
      <c r="Q136" s="96">
        <v>-0.98015060240963858</v>
      </c>
    </row>
    <row r="137" spans="1:17">
      <c r="A137" s="3" t="s">
        <v>806</v>
      </c>
      <c r="B137" s="154">
        <v>2693000000</v>
      </c>
      <c r="C137" s="155">
        <v>0.28120800000000001</v>
      </c>
      <c r="D137" s="155">
        <v>1.9000000000000001E-5</v>
      </c>
      <c r="E137" s="155">
        <v>1.4671780000000001</v>
      </c>
      <c r="F137" s="155">
        <v>2.5999999999999998E-5</v>
      </c>
      <c r="G137" s="155">
        <v>6.6399999999999999E-4</v>
      </c>
      <c r="H137" s="155">
        <v>2.0999999999999999E-5</v>
      </c>
      <c r="I137" s="94">
        <v>1.8190000000000001E-2</v>
      </c>
      <c r="J137" s="94">
        <v>5.2999999999999998E-4</v>
      </c>
      <c r="K137" s="96">
        <v>-55.766748589918258</v>
      </c>
      <c r="L137" s="96">
        <v>4.2239464657845005</v>
      </c>
      <c r="M137" s="96">
        <v>0.67565645358595772</v>
      </c>
      <c r="N137" s="155">
        <v>0.28117376169234193</v>
      </c>
      <c r="O137" s="99">
        <v>2822.6807530312758</v>
      </c>
      <c r="P137" s="99">
        <v>2904.58020924736</v>
      </c>
      <c r="Q137" s="96">
        <v>-0.98</v>
      </c>
    </row>
    <row r="138" spans="1:17">
      <c r="A138" s="3" t="s">
        <v>807</v>
      </c>
      <c r="B138" s="154">
        <v>2693000000</v>
      </c>
      <c r="C138" s="155">
        <v>0.28121600000000002</v>
      </c>
      <c r="D138" s="155">
        <v>2.0000000000000002E-5</v>
      </c>
      <c r="E138" s="155">
        <v>1.4672499999999999</v>
      </c>
      <c r="F138" s="155">
        <v>1.1E-4</v>
      </c>
      <c r="G138" s="155">
        <v>8.1499999999999997E-4</v>
      </c>
      <c r="H138" s="155">
        <v>2.5999999999999998E-5</v>
      </c>
      <c r="I138" s="94">
        <v>2.3470000000000001E-2</v>
      </c>
      <c r="J138" s="94">
        <v>7.9000000000000001E-4</v>
      </c>
      <c r="K138" s="96">
        <v>-55.483848153190522</v>
      </c>
      <c r="L138" s="96">
        <v>4.2319782196087452</v>
      </c>
      <c r="M138" s="96">
        <v>0.71119708693673189</v>
      </c>
      <c r="N138" s="155">
        <v>0.28117397557117274</v>
      </c>
      <c r="O138" s="99">
        <v>2822.9119734629753</v>
      </c>
      <c r="P138" s="99">
        <v>2904.0889539575182</v>
      </c>
      <c r="Q138" s="96">
        <v>-0.97545180722891567</v>
      </c>
    </row>
    <row r="139" spans="1:17">
      <c r="A139" s="3" t="s">
        <v>808</v>
      </c>
      <c r="B139" s="154">
        <v>2693000000</v>
      </c>
      <c r="C139" s="155">
        <v>0.28123300000000001</v>
      </c>
      <c r="D139" s="155">
        <v>2.1999999999999999E-5</v>
      </c>
      <c r="E139" s="155">
        <v>1.467182</v>
      </c>
      <c r="F139" s="155">
        <v>2.6999999999999999E-5</v>
      </c>
      <c r="G139" s="155">
        <v>9.1E-4</v>
      </c>
      <c r="H139" s="155">
        <v>3.1000000000000001E-5</v>
      </c>
      <c r="I139" s="94">
        <v>2.7179999999999999E-2</v>
      </c>
      <c r="J139" s="94">
        <v>7.5000000000000002E-4</v>
      </c>
      <c r="K139" s="96">
        <v>-54.882684725144905</v>
      </c>
      <c r="L139" s="96">
        <v>4.6628157028072437</v>
      </c>
      <c r="M139" s="96">
        <v>0.78226950606792223</v>
      </c>
      <c r="N139" s="155">
        <v>0.28118607701811926</v>
      </c>
      <c r="O139" s="99">
        <v>2806.8366710429464</v>
      </c>
      <c r="P139" s="99">
        <v>2877.790461427353</v>
      </c>
      <c r="Q139" s="96">
        <v>-0.97259036144578315</v>
      </c>
    </row>
    <row r="140" spans="1:17">
      <c r="A140" s="3" t="s">
        <v>809</v>
      </c>
      <c r="B140" s="154">
        <v>2693000000</v>
      </c>
      <c r="C140" s="155">
        <v>0.281246</v>
      </c>
      <c r="D140" s="155">
        <v>1.9000000000000001E-5</v>
      </c>
      <c r="E140" s="155">
        <v>1.4672099999999999</v>
      </c>
      <c r="F140" s="155">
        <v>3.4999999999999997E-5</v>
      </c>
      <c r="G140" s="155">
        <v>9.7799999999999992E-4</v>
      </c>
      <c r="H140" s="155">
        <v>2.5999999999999998E-5</v>
      </c>
      <c r="I140" s="94">
        <v>2.63E-2</v>
      </c>
      <c r="J140" s="94">
        <v>1.1999999999999999E-3</v>
      </c>
      <c r="K140" s="96">
        <v>-54.422971515463161</v>
      </c>
      <c r="L140" s="96">
        <v>5.0007923935124765</v>
      </c>
      <c r="M140" s="96">
        <v>0.67556516359343777</v>
      </c>
      <c r="N140" s="155">
        <v>0.28119557068540724</v>
      </c>
      <c r="O140" s="99">
        <v>2794.1473150372476</v>
      </c>
      <c r="P140" s="99">
        <v>2857.1548215095677</v>
      </c>
      <c r="Q140" s="96">
        <v>-0.97054216867469878</v>
      </c>
    </row>
    <row r="141" spans="1:17">
      <c r="A141" s="3" t="s">
        <v>810</v>
      </c>
      <c r="B141" s="154">
        <v>2693000000</v>
      </c>
      <c r="C141" s="155">
        <v>0.28121000000000002</v>
      </c>
      <c r="D141" s="155">
        <v>2.1999999999999999E-5</v>
      </c>
      <c r="E141" s="155">
        <v>1.4671749999999999</v>
      </c>
      <c r="F141" s="155">
        <v>3.6999999999999998E-5</v>
      </c>
      <c r="G141" s="155">
        <v>7.6400000000000003E-4</v>
      </c>
      <c r="H141" s="155">
        <v>1.2E-5</v>
      </c>
      <c r="I141" s="94">
        <v>2.205E-2</v>
      </c>
      <c r="J141" s="94">
        <v>2.5999999999999998E-4</v>
      </c>
      <c r="K141" s="96">
        <v>-55.696023480735768</v>
      </c>
      <c r="L141" s="96">
        <v>4.1119214971296891</v>
      </c>
      <c r="M141" s="96">
        <v>0.78233348742932329</v>
      </c>
      <c r="N141" s="155">
        <v>0.2811706053207067</v>
      </c>
      <c r="O141" s="99">
        <v>2827.2861135097914</v>
      </c>
      <c r="P141" s="99">
        <v>2911.4160755578851</v>
      </c>
      <c r="Q141" s="96">
        <v>-0.97698795180722886</v>
      </c>
    </row>
    <row r="142" spans="1:17">
      <c r="A142" s="3" t="s">
        <v>811</v>
      </c>
      <c r="B142" s="154">
        <v>2693000000</v>
      </c>
      <c r="C142" s="155">
        <v>0.28121800000000002</v>
      </c>
      <c r="D142" s="155">
        <v>1.9000000000000001E-5</v>
      </c>
      <c r="E142" s="155">
        <v>1.467163</v>
      </c>
      <c r="F142" s="155">
        <v>3.4E-5</v>
      </c>
      <c r="G142" s="155">
        <v>6.8300000000000001E-4</v>
      </c>
      <c r="H142" s="155">
        <v>1.9000000000000001E-5</v>
      </c>
      <c r="I142" s="94">
        <v>1.882E-2</v>
      </c>
      <c r="J142" s="94">
        <v>9.3999999999999997E-4</v>
      </c>
      <c r="K142" s="96">
        <v>-55.413123044008032</v>
      </c>
      <c r="L142" s="96">
        <v>4.5449433625943669</v>
      </c>
      <c r="M142" s="96">
        <v>0.67563242751175245</v>
      </c>
      <c r="N142" s="155">
        <v>0.28118278198173124</v>
      </c>
      <c r="O142" s="99">
        <v>2810.5925202415301</v>
      </c>
      <c r="P142" s="99">
        <v>2884.9873968354614</v>
      </c>
      <c r="Q142" s="96">
        <v>-0.97942771084337354</v>
      </c>
    </row>
    <row r="143" spans="1:17">
      <c r="A143" s="3" t="s">
        <v>812</v>
      </c>
      <c r="B143" s="154">
        <v>2693000000</v>
      </c>
      <c r="C143" s="155">
        <v>0.281248</v>
      </c>
      <c r="D143" s="155">
        <v>2.5000000000000001E-5</v>
      </c>
      <c r="E143" s="155">
        <v>1.4671780000000001</v>
      </c>
      <c r="F143" s="155">
        <v>3.1999999999999999E-5</v>
      </c>
      <c r="G143" s="155">
        <v>1.2080000000000001E-3</v>
      </c>
      <c r="H143" s="155">
        <v>4.5000000000000003E-5</v>
      </c>
      <c r="I143" s="94">
        <v>3.5299999999999998E-2</v>
      </c>
      <c r="J143" s="94">
        <v>1.2999999999999999E-3</v>
      </c>
      <c r="K143" s="96">
        <v>-54.35224640628067</v>
      </c>
      <c r="L143" s="96">
        <v>4.6506264140244724</v>
      </c>
      <c r="M143" s="96">
        <v>0.88889520992149285</v>
      </c>
      <c r="N143" s="155">
        <v>0.28118571103064616</v>
      </c>
      <c r="O143" s="99">
        <v>2808.2479629661939</v>
      </c>
      <c r="P143" s="99">
        <v>2878.5329161811401</v>
      </c>
      <c r="Q143" s="96">
        <v>-0.96361445783132527</v>
      </c>
    </row>
    <row r="144" spans="1:17">
      <c r="A144" s="3" t="s">
        <v>813</v>
      </c>
      <c r="B144" s="154">
        <v>2693000000</v>
      </c>
      <c r="C144" s="155">
        <v>0.28122799999999998</v>
      </c>
      <c r="D144" s="155">
        <v>2.4000000000000001E-5</v>
      </c>
      <c r="E144" s="155">
        <v>1.467166</v>
      </c>
      <c r="F144" s="155">
        <v>3.4E-5</v>
      </c>
      <c r="G144" s="155">
        <v>7.8100000000000001E-4</v>
      </c>
      <c r="H144" s="155">
        <v>2.1999999999999999E-5</v>
      </c>
      <c r="I144" s="94">
        <v>2.162E-2</v>
      </c>
      <c r="J144" s="94">
        <v>9.3000000000000005E-4</v>
      </c>
      <c r="K144" s="96">
        <v>-55.059497498100015</v>
      </c>
      <c r="L144" s="96">
        <v>4.7212237989735506</v>
      </c>
      <c r="M144" s="96">
        <v>0.85340008818467583</v>
      </c>
      <c r="N144" s="155">
        <v>0.28118772873752867</v>
      </c>
      <c r="O144" s="99">
        <v>2804.2150119402027</v>
      </c>
      <c r="P144" s="99">
        <v>2874.2253647084822</v>
      </c>
      <c r="Q144" s="96">
        <v>-0.9764759036144578</v>
      </c>
    </row>
    <row r="145" spans="1:17">
      <c r="A145" s="3" t="s">
        <v>814</v>
      </c>
      <c r="B145" s="154">
        <v>2693000000</v>
      </c>
      <c r="C145" s="155">
        <v>0.28123100000000001</v>
      </c>
      <c r="D145" s="155">
        <v>2.1999999999999999E-5</v>
      </c>
      <c r="E145" s="155">
        <v>1.4672000000000001</v>
      </c>
      <c r="F145" s="155">
        <v>3.4E-5</v>
      </c>
      <c r="G145" s="155">
        <v>7.7200000000000001E-4</v>
      </c>
      <c r="H145" s="155">
        <v>3.8000000000000002E-5</v>
      </c>
      <c r="I145" s="94">
        <v>2.0979999999999999E-2</v>
      </c>
      <c r="J145" s="94">
        <v>6.8999999999999997E-4</v>
      </c>
      <c r="K145" s="96">
        <v>-54.95340983432628</v>
      </c>
      <c r="L145" s="96">
        <v>4.844451120782356</v>
      </c>
      <c r="M145" s="96">
        <v>0.78227506924912249</v>
      </c>
      <c r="N145" s="155">
        <v>0.28119119281097588</v>
      </c>
      <c r="O145" s="99">
        <v>2799.508787667909</v>
      </c>
      <c r="P145" s="99">
        <v>2866.7019086482087</v>
      </c>
      <c r="Q145" s="96">
        <v>-0.97674698795180726</v>
      </c>
    </row>
    <row r="146" spans="1:17">
      <c r="A146" s="3" t="s">
        <v>815</v>
      </c>
      <c r="B146" s="154">
        <v>2693000000</v>
      </c>
      <c r="C146" s="155">
        <v>0.28120899999999999</v>
      </c>
      <c r="D146" s="155">
        <v>2.0999999999999999E-5</v>
      </c>
      <c r="E146" s="155">
        <v>1.46716</v>
      </c>
      <c r="F146" s="155">
        <v>3.4999999999999997E-5</v>
      </c>
      <c r="G146" s="155">
        <v>6.4499999999999996E-4</v>
      </c>
      <c r="H146" s="155">
        <v>2.0999999999999999E-5</v>
      </c>
      <c r="I146" s="94">
        <v>1.711E-2</v>
      </c>
      <c r="J146" s="94">
        <v>3.3E-4</v>
      </c>
      <c r="K146" s="96">
        <v>-55.731386035328121</v>
      </c>
      <c r="L146" s="96">
        <v>4.2943319025923188</v>
      </c>
      <c r="M146" s="96">
        <v>0.74677552994392071</v>
      </c>
      <c r="N146" s="155">
        <v>0.28117574140295265</v>
      </c>
      <c r="O146" s="99">
        <v>2819.9511232846726</v>
      </c>
      <c r="P146" s="99">
        <v>2900.2846008381543</v>
      </c>
      <c r="Q146" s="96">
        <v>-0.98057228915662653</v>
      </c>
    </row>
    <row r="147" spans="1:17">
      <c r="A147" s="3" t="s">
        <v>816</v>
      </c>
      <c r="B147" s="154">
        <v>2693000000</v>
      </c>
      <c r="C147" s="155">
        <v>0.28118599999999999</v>
      </c>
      <c r="D147" s="155">
        <v>2.4000000000000001E-5</v>
      </c>
      <c r="E147" s="155">
        <v>1.467185</v>
      </c>
      <c r="F147" s="155">
        <v>4.3000000000000002E-5</v>
      </c>
      <c r="G147" s="155">
        <v>5.6300000000000002E-4</v>
      </c>
      <c r="H147" s="155">
        <v>2.6999999999999999E-5</v>
      </c>
      <c r="I147" s="94">
        <v>1.5429999999999999E-2</v>
      </c>
      <c r="J147" s="94">
        <v>4.8999999999999998E-4</v>
      </c>
      <c r="K147" s="96">
        <v>-56.544724790918991</v>
      </c>
      <c r="L147" s="96">
        <v>3.6261990454256043</v>
      </c>
      <c r="M147" s="96">
        <v>0.85352755827103777</v>
      </c>
      <c r="N147" s="155">
        <v>0.28115696962769354</v>
      </c>
      <c r="O147" s="99">
        <v>2844.880898852201</v>
      </c>
      <c r="P147" s="99">
        <v>2941.0540841825095</v>
      </c>
      <c r="Q147" s="96">
        <v>-0.98304216867469885</v>
      </c>
    </row>
    <row r="148" spans="1:17">
      <c r="A148" s="3" t="s">
        <v>817</v>
      </c>
      <c r="B148" s="154">
        <v>2693000000</v>
      </c>
      <c r="C148" s="155">
        <v>0.28121400000000002</v>
      </c>
      <c r="D148" s="155">
        <v>2.3E-5</v>
      </c>
      <c r="E148" s="155">
        <v>1.467149</v>
      </c>
      <c r="F148" s="155">
        <v>3.8000000000000002E-5</v>
      </c>
      <c r="G148" s="155">
        <v>1.193E-3</v>
      </c>
      <c r="H148" s="155">
        <v>7.7000000000000001E-5</v>
      </c>
      <c r="I148" s="94">
        <v>3.4000000000000002E-2</v>
      </c>
      <c r="J148" s="94">
        <v>1.4E-3</v>
      </c>
      <c r="K148" s="96">
        <v>-55.554573262371896</v>
      </c>
      <c r="L148" s="96">
        <v>3.4683770099652733</v>
      </c>
      <c r="M148" s="96">
        <v>0.81788246673351961</v>
      </c>
      <c r="N148" s="155">
        <v>0.28115248448639146</v>
      </c>
      <c r="O148" s="99">
        <v>2853.5709027437529</v>
      </c>
      <c r="P148" s="99">
        <v>2950.6747683071289</v>
      </c>
      <c r="Q148" s="96">
        <v>-0.96406626506024096</v>
      </c>
    </row>
    <row r="149" spans="1:17">
      <c r="A149" s="3" t="s">
        <v>818</v>
      </c>
      <c r="B149" s="154">
        <v>2693000000</v>
      </c>
      <c r="C149" s="155">
        <v>0.281227</v>
      </c>
      <c r="D149" s="155">
        <v>2.0000000000000002E-5</v>
      </c>
      <c r="E149" s="155">
        <v>1.4671890000000001</v>
      </c>
      <c r="F149" s="155">
        <v>3.6000000000000001E-5</v>
      </c>
      <c r="G149" s="155">
        <v>1.1039999999999999E-3</v>
      </c>
      <c r="H149" s="155">
        <v>6.6000000000000005E-5</v>
      </c>
      <c r="I149" s="94">
        <v>2.9399999999999999E-2</v>
      </c>
      <c r="J149" s="94">
        <v>1.2999999999999999E-3</v>
      </c>
      <c r="K149" s="96">
        <v>-55.094860052690152</v>
      </c>
      <c r="L149" s="96">
        <v>4.0939547676011045</v>
      </c>
      <c r="M149" s="96">
        <v>0.71116926895355004</v>
      </c>
      <c r="N149" s="155">
        <v>0.28117007365714686</v>
      </c>
      <c r="O149" s="99">
        <v>2829.2330108306101</v>
      </c>
      <c r="P149" s="99">
        <v>2912.509844954634</v>
      </c>
      <c r="Q149" s="96">
        <v>-0.96674698795180725</v>
      </c>
    </row>
    <row r="150" spans="1:17">
      <c r="A150" s="34" t="s">
        <v>281</v>
      </c>
      <c r="B150" s="156">
        <f t="shared" ref="B150" si="14">AVERAGE(B134:B149)</f>
        <v>2693000000</v>
      </c>
      <c r="C150" s="157">
        <f>AVERAGE(C134:C149)</f>
        <v>0.28121956250000008</v>
      </c>
      <c r="D150" s="157">
        <f t="shared" ref="D150:Q150" si="15">AVERAGE(D134:D149)</f>
        <v>2.1375000000000001E-5</v>
      </c>
      <c r="E150" s="157">
        <f t="shared" si="15"/>
        <v>1.4671836874999997</v>
      </c>
      <c r="F150" s="157">
        <f t="shared" si="15"/>
        <v>3.8625000000000004E-5</v>
      </c>
      <c r="G150" s="157">
        <f t="shared" si="15"/>
        <v>8.3662499999999991E-4</v>
      </c>
      <c r="H150" s="157">
        <f t="shared" si="15"/>
        <v>3.1624999999999996E-5</v>
      </c>
      <c r="I150" s="158">
        <f t="shared" si="15"/>
        <v>2.3403750000000001E-2</v>
      </c>
      <c r="J150" s="158">
        <f t="shared" si="15"/>
        <v>7.8249999999999999E-4</v>
      </c>
      <c r="K150" s="159">
        <f t="shared" si="15"/>
        <v>-55.357869052460387</v>
      </c>
      <c r="L150" s="159">
        <f t="shared" si="15"/>
        <v>4.3191188841561203</v>
      </c>
      <c r="M150" s="159">
        <f t="shared" si="15"/>
        <v>0.76008163151277519</v>
      </c>
      <c r="N150" s="158">
        <f t="shared" si="15"/>
        <v>0.28117642300580653</v>
      </c>
      <c r="O150" s="160">
        <f t="shared" si="15"/>
        <v>2819.6643041638517</v>
      </c>
      <c r="P150" s="160">
        <f t="shared" si="15"/>
        <v>2898.765633788259</v>
      </c>
      <c r="Q150" s="159">
        <f t="shared" si="15"/>
        <v>-0.97480045180722896</v>
      </c>
    </row>
    <row r="151" spans="1:17">
      <c r="A151" s="34" t="s">
        <v>204</v>
      </c>
      <c r="B151" s="156"/>
      <c r="C151" s="157">
        <f>STDEV(C134:C149)</f>
        <v>1.8114335943294314E-5</v>
      </c>
      <c r="D151" s="157">
        <f t="shared" ref="D151:Q151" si="16">STDEV(D134:D149)</f>
        <v>1.9621416870348583E-6</v>
      </c>
      <c r="E151" s="157">
        <f t="shared" si="16"/>
        <v>2.4024206542559991E-5</v>
      </c>
      <c r="F151" s="157">
        <f t="shared" si="16"/>
        <v>1.9465781943365815E-5</v>
      </c>
      <c r="G151" s="157">
        <f t="shared" si="16"/>
        <v>1.9592885613575831E-4</v>
      </c>
      <c r="H151" s="157">
        <f t="shared" si="16"/>
        <v>1.7515231466735841E-5</v>
      </c>
      <c r="I151" s="157">
        <f t="shared" si="16"/>
        <v>5.7722865198001636E-3</v>
      </c>
      <c r="J151" s="157">
        <f t="shared" si="16"/>
        <v>3.6743253348970971E-4</v>
      </c>
      <c r="K151" s="159">
        <f t="shared" si="16"/>
        <v>0.64056919367331844</v>
      </c>
      <c r="L151" s="159">
        <f t="shared" si="16"/>
        <v>0.48941461208472853</v>
      </c>
      <c r="M151" s="159">
        <f t="shared" si="16"/>
        <v>6.9764953233847779E-2</v>
      </c>
      <c r="N151" s="157">
        <f t="shared" si="16"/>
        <v>1.3753195034035685E-5</v>
      </c>
      <c r="O151" s="160">
        <f t="shared" si="16"/>
        <v>18.542782420971292</v>
      </c>
      <c r="P151" s="160">
        <f t="shared" si="16"/>
        <v>29.868042812818842</v>
      </c>
      <c r="Q151" s="159">
        <f t="shared" si="16"/>
        <v>5.9014715703541772E-3</v>
      </c>
    </row>
    <row r="152" spans="1:17">
      <c r="A152" s="34"/>
      <c r="B152" s="156"/>
      <c r="C152" s="157"/>
      <c r="D152" s="157"/>
      <c r="E152" s="157"/>
      <c r="F152" s="157"/>
      <c r="G152" s="157"/>
      <c r="H152" s="157"/>
      <c r="I152" s="157"/>
      <c r="J152" s="157"/>
      <c r="K152" s="159"/>
      <c r="L152" s="159"/>
      <c r="M152" s="159"/>
      <c r="N152" s="157"/>
      <c r="O152" s="160"/>
    </row>
    <row r="153" spans="1:17">
      <c r="A153" s="34"/>
      <c r="B153" s="156"/>
      <c r="C153" s="157"/>
      <c r="D153" s="157"/>
      <c r="E153" s="157"/>
      <c r="F153" s="157"/>
      <c r="G153" s="157"/>
      <c r="H153" s="157"/>
      <c r="I153" s="157"/>
      <c r="J153" s="157"/>
      <c r="K153" s="159"/>
      <c r="L153" s="168">
        <f>AVERAGE(L3:L15,L19:L29,L37:L56,L60:L80,L86:L97,L102:L105,L106:L109,L114:L125,L134:L149)</f>
        <v>4.2765171403735405</v>
      </c>
      <c r="M153" s="159"/>
      <c r="N153" s="157"/>
      <c r="O153" s="160"/>
      <c r="P153" s="160">
        <f>AVERAGE(P3:P15,P19:P29,P37:P56,P60:P80,P86:P97,P102:P105,P106:P109,P114:P125,P134:P149)</f>
        <v>2915.1930576070117</v>
      </c>
    </row>
    <row r="154" spans="1:17" ht="14" thickBot="1">
      <c r="C154" s="155"/>
      <c r="D154" s="155"/>
      <c r="E154" s="155"/>
      <c r="F154" s="155"/>
      <c r="G154" s="155"/>
      <c r="H154" s="155"/>
      <c r="I154" s="94"/>
      <c r="J154" s="94"/>
      <c r="L154" s="168">
        <f>_xlfn.STDEV.S(L3:L15,L19:L29,L37:L56,L60:L80,L86:L97,L102:L105,L106:L109,L114:L125,L134:L149)</f>
        <v>0.44243994782660323</v>
      </c>
      <c r="P154" s="160">
        <f>_xlfn.STDEV.S(P3:P15,P19:P29,P37:P56,P60:P80,P86:P97,P102:P105,P106:P109,P114:P125,P134:P149)</f>
        <v>29.437075963939652</v>
      </c>
    </row>
    <row r="155" spans="1:17">
      <c r="A155" s="169" t="s">
        <v>819</v>
      </c>
      <c r="B155" s="170"/>
      <c r="C155" s="171"/>
      <c r="D155" s="171"/>
      <c r="E155" s="171"/>
      <c r="F155" s="171"/>
      <c r="G155" s="171"/>
      <c r="H155" s="171"/>
      <c r="I155" s="172"/>
      <c r="J155" s="172"/>
      <c r="K155" s="173"/>
      <c r="L155" s="173"/>
      <c r="M155" s="173"/>
      <c r="N155" s="170"/>
    </row>
    <row r="156" spans="1:17">
      <c r="A156" s="3" t="s">
        <v>820</v>
      </c>
      <c r="C156" s="155">
        <v>0.28273900000000002</v>
      </c>
      <c r="D156" s="155">
        <v>1.7E-5</v>
      </c>
      <c r="E156" s="155">
        <v>1.467163</v>
      </c>
      <c r="F156" s="155">
        <v>3.4999999999999997E-5</v>
      </c>
      <c r="G156" s="155">
        <v>1.0250000000000001E-3</v>
      </c>
      <c r="H156" s="155">
        <v>1.7E-5</v>
      </c>
      <c r="I156" s="94">
        <v>2.9159999999999998E-2</v>
      </c>
      <c r="J156" s="94">
        <v>2.7999999999999998E-4</v>
      </c>
    </row>
    <row r="157" spans="1:17">
      <c r="A157" s="3" t="s">
        <v>821</v>
      </c>
      <c r="C157" s="155">
        <v>0.28276000000000001</v>
      </c>
      <c r="D157" s="155">
        <v>2.6999999999999999E-5</v>
      </c>
      <c r="E157" s="155">
        <v>1.4671639999999999</v>
      </c>
      <c r="F157" s="155">
        <v>3.8000000000000002E-5</v>
      </c>
      <c r="G157" s="155">
        <v>2.6407000000000002E-3</v>
      </c>
      <c r="H157" s="155">
        <v>9.0000000000000002E-6</v>
      </c>
      <c r="I157" s="94">
        <v>7.8200000000000006E-2</v>
      </c>
      <c r="J157" s="94">
        <v>1E-3</v>
      </c>
    </row>
    <row r="158" spans="1:17">
      <c r="A158" s="3" t="s">
        <v>822</v>
      </c>
      <c r="C158" s="155">
        <v>0.28275499999999998</v>
      </c>
      <c r="D158" s="155">
        <v>2.0999999999999999E-5</v>
      </c>
      <c r="E158" s="155">
        <v>1.4671430000000001</v>
      </c>
      <c r="F158" s="155">
        <v>3.6000000000000001E-5</v>
      </c>
      <c r="G158" s="155">
        <v>1.9090000000000001E-3</v>
      </c>
      <c r="H158" s="155">
        <v>4.0000000000000003E-5</v>
      </c>
      <c r="I158" s="94">
        <v>5.391E-2</v>
      </c>
      <c r="J158" s="94">
        <v>8.4999999999999995E-4</v>
      </c>
    </row>
    <row r="159" spans="1:17">
      <c r="A159" s="3" t="s">
        <v>823</v>
      </c>
      <c r="C159" s="155">
        <v>0.28275099999999997</v>
      </c>
      <c r="D159" s="155">
        <v>2.4000000000000001E-5</v>
      </c>
      <c r="E159" s="155">
        <v>1.4671639999999999</v>
      </c>
      <c r="F159" s="155">
        <v>3.8000000000000002E-5</v>
      </c>
      <c r="G159" s="155">
        <v>1.3154E-3</v>
      </c>
      <c r="H159" s="155">
        <v>7.1999999999999997E-6</v>
      </c>
      <c r="I159" s="94">
        <v>3.884E-2</v>
      </c>
      <c r="J159" s="94">
        <v>8.7000000000000001E-4</v>
      </c>
    </row>
    <row r="160" spans="1:17">
      <c r="A160" s="3" t="s">
        <v>824</v>
      </c>
      <c r="C160" s="155">
        <v>0.28276499999999999</v>
      </c>
      <c r="D160" s="155">
        <v>2.3E-5</v>
      </c>
      <c r="E160" s="155">
        <v>1.4671510000000001</v>
      </c>
      <c r="F160" s="155">
        <v>3.1999999999999999E-5</v>
      </c>
      <c r="G160" s="155">
        <v>2.1789999999999999E-3</v>
      </c>
      <c r="H160" s="155">
        <v>5.8999999999999998E-5</v>
      </c>
      <c r="I160" s="94">
        <v>6.5699999999999995E-2</v>
      </c>
      <c r="J160" s="94">
        <v>3.0000000000000001E-3</v>
      </c>
    </row>
    <row r="161" spans="1:16">
      <c r="A161" s="3" t="s">
        <v>825</v>
      </c>
      <c r="C161" s="155">
        <v>0.28276600000000002</v>
      </c>
      <c r="D161" s="155">
        <v>2.0999999999999999E-5</v>
      </c>
      <c r="E161" s="155">
        <v>1.467174</v>
      </c>
      <c r="F161" s="155">
        <v>4.6999999999999997E-5</v>
      </c>
      <c r="G161" s="155">
        <v>1.954E-3</v>
      </c>
      <c r="H161" s="155">
        <v>1.2999999999999999E-5</v>
      </c>
      <c r="I161" s="94">
        <v>5.5419999999999997E-2</v>
      </c>
      <c r="J161" s="94">
        <v>4.4000000000000002E-4</v>
      </c>
    </row>
    <row r="162" spans="1:16">
      <c r="A162" s="3" t="s">
        <v>826</v>
      </c>
      <c r="C162" s="155">
        <v>0.28273700000000002</v>
      </c>
      <c r="D162" s="155">
        <v>2.0000000000000002E-5</v>
      </c>
      <c r="E162" s="155">
        <v>1.467157</v>
      </c>
      <c r="F162" s="155">
        <v>3.4E-5</v>
      </c>
      <c r="G162" s="155">
        <v>2.3839999999999998E-3</v>
      </c>
      <c r="H162" s="155">
        <v>6.9999999999999994E-5</v>
      </c>
      <c r="I162" s="94">
        <v>6.9900000000000004E-2</v>
      </c>
      <c r="J162" s="94">
        <v>3.0999999999999999E-3</v>
      </c>
    </row>
    <row r="163" spans="1:16">
      <c r="A163" s="3" t="s">
        <v>827</v>
      </c>
      <c r="C163" s="155">
        <v>0.28273999999999999</v>
      </c>
      <c r="D163" s="155">
        <v>2.3E-5</v>
      </c>
      <c r="E163" s="155">
        <v>1.467157</v>
      </c>
      <c r="F163" s="155">
        <v>4.3000000000000002E-5</v>
      </c>
      <c r="G163" s="155">
        <v>1.9840000000000001E-3</v>
      </c>
      <c r="H163" s="155">
        <v>4.6E-5</v>
      </c>
      <c r="I163" s="94">
        <v>5.4899999999999997E-2</v>
      </c>
      <c r="J163" s="94">
        <v>1.9E-3</v>
      </c>
    </row>
    <row r="164" spans="1:16">
      <c r="A164" s="3" t="s">
        <v>828</v>
      </c>
      <c r="C164" s="155">
        <v>0.28274100000000002</v>
      </c>
      <c r="D164" s="155">
        <v>2.0999999999999999E-5</v>
      </c>
      <c r="E164" s="155">
        <v>1.4671700000000001</v>
      </c>
      <c r="F164" s="155">
        <v>3.1000000000000001E-5</v>
      </c>
      <c r="G164" s="155">
        <v>1.5709999999999999E-3</v>
      </c>
      <c r="H164" s="155">
        <v>3.6000000000000001E-5</v>
      </c>
      <c r="I164" s="94">
        <v>4.3929999999999997E-2</v>
      </c>
      <c r="J164" s="94">
        <v>4.8000000000000001E-4</v>
      </c>
    </row>
    <row r="165" spans="1:16">
      <c r="A165" s="3" t="s">
        <v>829</v>
      </c>
      <c r="C165" s="155">
        <v>0.28273700000000002</v>
      </c>
      <c r="D165" s="155">
        <v>2.0000000000000002E-5</v>
      </c>
      <c r="E165" s="155">
        <v>1.4671799999999999</v>
      </c>
      <c r="F165" s="155">
        <v>4.1999999999999998E-5</v>
      </c>
      <c r="G165" s="155">
        <v>8.4900000000000004E-4</v>
      </c>
      <c r="H165" s="155">
        <v>1.2E-5</v>
      </c>
      <c r="I165" s="94">
        <v>2.2780000000000002E-2</v>
      </c>
      <c r="J165" s="94">
        <v>1.1E-4</v>
      </c>
    </row>
    <row r="166" spans="1:16">
      <c r="A166" s="3" t="s">
        <v>830</v>
      </c>
      <c r="C166" s="155">
        <v>0.28275299999999998</v>
      </c>
      <c r="D166" s="155">
        <v>2.0000000000000002E-5</v>
      </c>
      <c r="E166" s="155">
        <v>1.4671940000000001</v>
      </c>
      <c r="F166" s="155">
        <v>3.4999999999999997E-5</v>
      </c>
      <c r="G166" s="155">
        <v>1.2899999999999999E-3</v>
      </c>
      <c r="H166" s="155">
        <v>1.2E-4</v>
      </c>
      <c r="I166" s="94">
        <v>3.5099999999999999E-2</v>
      </c>
      <c r="J166" s="94">
        <v>3.3E-3</v>
      </c>
    </row>
    <row r="167" spans="1:16">
      <c r="A167" s="3" t="s">
        <v>831</v>
      </c>
      <c r="C167" s="155">
        <v>0.28276000000000001</v>
      </c>
      <c r="D167" s="155">
        <v>2.4000000000000001E-5</v>
      </c>
      <c r="E167" s="155">
        <v>1.467152</v>
      </c>
      <c r="F167" s="155">
        <v>4.6E-5</v>
      </c>
      <c r="G167" s="155">
        <v>2.7209999999999999E-3</v>
      </c>
      <c r="H167" s="155">
        <v>2.3E-5</v>
      </c>
      <c r="I167" s="94">
        <v>8.1390000000000004E-2</v>
      </c>
      <c r="J167" s="94">
        <v>9.7999999999999997E-4</v>
      </c>
    </row>
    <row r="168" spans="1:16">
      <c r="A168" s="3" t="s">
        <v>832</v>
      </c>
      <c r="C168" s="155">
        <v>0.282744</v>
      </c>
      <c r="D168" s="155">
        <v>2.3E-5</v>
      </c>
      <c r="E168" s="155">
        <v>1.4671860000000001</v>
      </c>
      <c r="F168" s="155">
        <v>4.6E-5</v>
      </c>
      <c r="G168" s="155">
        <v>2.47E-3</v>
      </c>
      <c r="H168" s="155">
        <v>1.8000000000000001E-4</v>
      </c>
      <c r="I168" s="94">
        <v>7.0499999999999993E-2</v>
      </c>
      <c r="J168" s="94">
        <v>4.4999999999999997E-3</v>
      </c>
    </row>
    <row r="169" spans="1:16">
      <c r="A169" s="34" t="s">
        <v>833</v>
      </c>
      <c r="B169" s="174"/>
      <c r="C169" s="157">
        <f t="shared" ref="C169:J169" si="17">AVERAGE(C156:C168)</f>
        <v>0.28274984615384618</v>
      </c>
      <c r="D169" s="157">
        <f t="shared" si="17"/>
        <v>2.1846153846153848E-5</v>
      </c>
      <c r="E169" s="157">
        <f t="shared" si="17"/>
        <v>1.4671657692307691</v>
      </c>
      <c r="F169" s="157">
        <f t="shared" si="17"/>
        <v>3.869230769230769E-5</v>
      </c>
      <c r="G169" s="157">
        <f t="shared" si="17"/>
        <v>1.8686230769230769E-3</v>
      </c>
      <c r="H169" s="157">
        <f t="shared" si="17"/>
        <v>4.8630769230769238E-5</v>
      </c>
      <c r="I169" s="158">
        <f t="shared" si="17"/>
        <v>5.3825384615384622E-2</v>
      </c>
      <c r="J169" s="158">
        <f t="shared" si="17"/>
        <v>1.6007692307692307E-3</v>
      </c>
      <c r="K169" s="159"/>
      <c r="L169" s="159"/>
      <c r="M169" s="159"/>
      <c r="N169" s="157"/>
      <c r="O169" s="160"/>
      <c r="P169" s="160"/>
    </row>
    <row r="170" spans="1:16">
      <c r="A170" s="34" t="s">
        <v>834</v>
      </c>
      <c r="B170" s="157"/>
      <c r="C170" s="157">
        <f t="shared" ref="C170:J170" si="18">2*(STDEV(C156:C168))</f>
        <v>2.1538278387491153E-5</v>
      </c>
      <c r="D170" s="157">
        <f t="shared" si="18"/>
        <v>5.0230239130198484E-6</v>
      </c>
      <c r="E170" s="157">
        <f t="shared" si="18"/>
        <v>2.9372933642546727E-5</v>
      </c>
      <c r="F170" s="157">
        <f t="shared" si="18"/>
        <v>1.1056962071763213E-5</v>
      </c>
      <c r="G170" s="157">
        <f t="shared" si="18"/>
        <v>1.2314291159836639E-3</v>
      </c>
      <c r="H170" s="157">
        <f t="shared" si="18"/>
        <v>1.0118047850632666E-4</v>
      </c>
      <c r="I170" s="158">
        <f t="shared" si="18"/>
        <v>3.7772982951120429E-2</v>
      </c>
      <c r="J170" s="158">
        <f t="shared" si="18"/>
        <v>2.8285621970471327E-3</v>
      </c>
      <c r="K170" s="159"/>
      <c r="L170" s="159"/>
      <c r="M170" s="159"/>
      <c r="N170" s="157"/>
      <c r="O170" s="160"/>
      <c r="P170" s="160"/>
    </row>
    <row r="171" spans="1:16">
      <c r="C171" s="155"/>
      <c r="D171" s="155"/>
      <c r="E171" s="155"/>
      <c r="F171" s="155"/>
      <c r="G171" s="155"/>
      <c r="H171" s="155"/>
      <c r="I171" s="94"/>
      <c r="J171" s="94"/>
    </row>
    <row r="172" spans="1:16">
      <c r="A172" s="3" t="s">
        <v>609</v>
      </c>
      <c r="C172" s="155">
        <v>0.280644</v>
      </c>
      <c r="D172" s="155">
        <v>2.1999999999999999E-5</v>
      </c>
      <c r="E172" s="155">
        <v>1.4671479999999999</v>
      </c>
      <c r="F172" s="155">
        <v>3.6999999999999998E-5</v>
      </c>
      <c r="G172" s="155">
        <v>1.1999999999999999E-3</v>
      </c>
      <c r="H172" s="155">
        <v>1.1E-5</v>
      </c>
      <c r="I172" s="94">
        <v>3.3390000000000003E-2</v>
      </c>
      <c r="J172" s="94">
        <v>8.8000000000000003E-4</v>
      </c>
    </row>
    <row r="173" spans="1:16">
      <c r="A173" s="3" t="s">
        <v>610</v>
      </c>
      <c r="C173" s="155">
        <v>0.28066099999999999</v>
      </c>
      <c r="D173" s="155">
        <v>2.3E-5</v>
      </c>
      <c r="E173" s="155">
        <v>1.467176</v>
      </c>
      <c r="F173" s="155">
        <v>3.4E-5</v>
      </c>
      <c r="G173" s="155">
        <v>1.3959E-3</v>
      </c>
      <c r="H173" s="155">
        <v>8.8999999999999995E-6</v>
      </c>
      <c r="I173" s="94">
        <v>3.8399999999999997E-2</v>
      </c>
      <c r="J173" s="94">
        <v>1E-3</v>
      </c>
    </row>
    <row r="174" spans="1:16">
      <c r="A174" s="3" t="s">
        <v>611</v>
      </c>
      <c r="C174" s="155">
        <v>0.280611</v>
      </c>
      <c r="D174" s="155">
        <v>2.0999999999999999E-5</v>
      </c>
      <c r="E174" s="155">
        <v>1.4671540000000001</v>
      </c>
      <c r="F174" s="155">
        <v>3.1999999999999999E-5</v>
      </c>
      <c r="G174" s="155">
        <v>8.8599999999999996E-4</v>
      </c>
      <c r="H174" s="155">
        <v>6.0000000000000002E-5</v>
      </c>
      <c r="I174" s="94">
        <v>2.2800000000000001E-2</v>
      </c>
      <c r="J174" s="94">
        <v>2.0999999999999999E-3</v>
      </c>
    </row>
    <row r="175" spans="1:16">
      <c r="A175" s="3" t="s">
        <v>612</v>
      </c>
      <c r="C175" s="155">
        <v>0.28061999999999998</v>
      </c>
      <c r="D175" s="155">
        <v>2.0000000000000002E-5</v>
      </c>
      <c r="E175" s="155">
        <v>1.4671510000000001</v>
      </c>
      <c r="F175" s="155">
        <v>3.6000000000000001E-5</v>
      </c>
      <c r="G175" s="155">
        <v>8.7699999999999996E-4</v>
      </c>
      <c r="H175" s="155">
        <v>1.2999999999999999E-5</v>
      </c>
      <c r="I175" s="94">
        <v>2.205E-2</v>
      </c>
      <c r="J175" s="94">
        <v>4.2000000000000002E-4</v>
      </c>
    </row>
    <row r="176" spans="1:16">
      <c r="A176" s="3" t="s">
        <v>613</v>
      </c>
      <c r="C176" s="155">
        <v>0.280638</v>
      </c>
      <c r="D176" s="155">
        <v>2.1999999999999999E-5</v>
      </c>
      <c r="E176" s="155">
        <v>1.467157</v>
      </c>
      <c r="F176" s="155">
        <v>3.3000000000000003E-5</v>
      </c>
      <c r="G176" s="155">
        <v>9.7900000000000005E-4</v>
      </c>
      <c r="H176" s="155">
        <v>1.0000000000000001E-5</v>
      </c>
      <c r="I176" s="94">
        <v>2.376E-2</v>
      </c>
      <c r="J176" s="94">
        <v>5.6999999999999998E-4</v>
      </c>
    </row>
    <row r="177" spans="1:16">
      <c r="A177" s="3" t="s">
        <v>614</v>
      </c>
      <c r="C177" s="155">
        <v>0.28061999999999998</v>
      </c>
      <c r="D177" s="155">
        <v>2.4000000000000001E-5</v>
      </c>
      <c r="E177" s="155">
        <v>1.467198</v>
      </c>
      <c r="F177" s="155">
        <v>4.1999999999999998E-5</v>
      </c>
      <c r="G177" s="155">
        <v>1.0920000000000001E-3</v>
      </c>
      <c r="H177" s="155">
        <v>2.6999999999999999E-5</v>
      </c>
      <c r="I177" s="94">
        <v>2.7810000000000001E-2</v>
      </c>
      <c r="J177" s="94">
        <v>4.0999999999999999E-4</v>
      </c>
    </row>
    <row r="178" spans="1:16">
      <c r="A178" s="3" t="s">
        <v>615</v>
      </c>
      <c r="C178" s="155">
        <v>0.28061199999999997</v>
      </c>
      <c r="D178" s="155">
        <v>2.3E-5</v>
      </c>
      <c r="E178" s="155">
        <v>1.4671940000000001</v>
      </c>
      <c r="F178" s="155">
        <v>3.4E-5</v>
      </c>
      <c r="G178" s="155">
        <v>1.0009999999999999E-3</v>
      </c>
      <c r="H178" s="155">
        <v>7.7000000000000001E-5</v>
      </c>
      <c r="I178" s="94">
        <v>2.5100000000000001E-2</v>
      </c>
      <c r="J178" s="94">
        <v>2E-3</v>
      </c>
    </row>
    <row r="179" spans="1:16">
      <c r="A179" s="3" t="s">
        <v>616</v>
      </c>
      <c r="C179" s="155">
        <v>0.28063500000000002</v>
      </c>
      <c r="D179" s="155">
        <v>2.0000000000000002E-5</v>
      </c>
      <c r="E179" s="155">
        <v>1.467171</v>
      </c>
      <c r="F179" s="155">
        <v>4.5000000000000003E-5</v>
      </c>
      <c r="G179" s="155">
        <v>1.0610000000000001E-3</v>
      </c>
      <c r="H179" s="155">
        <v>3.4999999999999997E-5</v>
      </c>
      <c r="I179" s="94">
        <v>2.7300000000000001E-2</v>
      </c>
      <c r="J179" s="94">
        <v>5.9000000000000003E-4</v>
      </c>
    </row>
    <row r="180" spans="1:16">
      <c r="A180" s="3" t="s">
        <v>617</v>
      </c>
      <c r="C180" s="155">
        <v>0.280613</v>
      </c>
      <c r="D180" s="155">
        <v>2.0000000000000002E-5</v>
      </c>
      <c r="E180" s="155">
        <v>1.4671810000000001</v>
      </c>
      <c r="F180" s="155">
        <v>3.8000000000000002E-5</v>
      </c>
      <c r="G180" s="155">
        <v>7.4700000000000005E-4</v>
      </c>
      <c r="H180" s="155">
        <v>1.5999999999999999E-5</v>
      </c>
      <c r="I180" s="94">
        <v>1.823E-2</v>
      </c>
      <c r="J180" s="94">
        <v>4.8000000000000001E-4</v>
      </c>
    </row>
    <row r="181" spans="1:16">
      <c r="A181" s="3" t="s">
        <v>618</v>
      </c>
      <c r="C181" s="155">
        <v>0.28063399999999999</v>
      </c>
      <c r="D181" s="155">
        <v>2.0999999999999999E-5</v>
      </c>
      <c r="E181" s="155">
        <v>1.467187</v>
      </c>
      <c r="F181" s="155">
        <v>3.1999999999999999E-5</v>
      </c>
      <c r="G181" s="155">
        <v>1.415E-3</v>
      </c>
      <c r="H181" s="155">
        <v>6.0999999999999999E-5</v>
      </c>
      <c r="I181" s="94">
        <v>3.7999999999999999E-2</v>
      </c>
      <c r="J181" s="94">
        <v>2E-3</v>
      </c>
    </row>
    <row r="182" spans="1:16">
      <c r="A182" s="3" t="s">
        <v>619</v>
      </c>
      <c r="C182" s="155">
        <v>0.28062300000000001</v>
      </c>
      <c r="D182" s="155">
        <v>2.3E-5</v>
      </c>
      <c r="E182" s="155">
        <v>1.4671510000000001</v>
      </c>
      <c r="F182" s="155">
        <v>3.6000000000000001E-5</v>
      </c>
      <c r="G182" s="155">
        <v>1.1609999999999999E-3</v>
      </c>
      <c r="H182" s="155">
        <v>1.2999999999999999E-5</v>
      </c>
      <c r="I182" s="94">
        <v>2.8549999999999999E-2</v>
      </c>
      <c r="J182" s="94">
        <v>2.5000000000000001E-4</v>
      </c>
    </row>
    <row r="183" spans="1:16">
      <c r="A183" s="3" t="s">
        <v>620</v>
      </c>
      <c r="C183" s="155">
        <v>0.28071200000000002</v>
      </c>
      <c r="D183" s="155">
        <v>2.1999999999999999E-5</v>
      </c>
      <c r="E183" s="155">
        <v>1.467157</v>
      </c>
      <c r="F183" s="155">
        <v>4.1E-5</v>
      </c>
      <c r="G183" s="155">
        <v>2.3E-3</v>
      </c>
      <c r="H183" s="155">
        <v>2.3E-5</v>
      </c>
      <c r="I183" s="94">
        <v>6.1800000000000001E-2</v>
      </c>
      <c r="J183" s="94">
        <v>1.6999999999999999E-3</v>
      </c>
    </row>
    <row r="184" spans="1:16">
      <c r="A184" s="3" t="s">
        <v>621</v>
      </c>
      <c r="C184" s="155">
        <v>0.28063900000000003</v>
      </c>
      <c r="D184" s="155">
        <v>2.3E-5</v>
      </c>
      <c r="E184" s="155">
        <v>1.4671700000000001</v>
      </c>
      <c r="F184" s="155">
        <v>3.3000000000000003E-5</v>
      </c>
      <c r="G184" s="155">
        <v>9.5200000000000005E-4</v>
      </c>
      <c r="H184" s="155">
        <v>2.1999999999999999E-5</v>
      </c>
      <c r="I184" s="94">
        <v>2.2929999999999999E-2</v>
      </c>
      <c r="J184" s="94">
        <v>2.7999999999999998E-4</v>
      </c>
    </row>
    <row r="185" spans="1:16">
      <c r="A185" s="34" t="s">
        <v>833</v>
      </c>
      <c r="B185" s="174"/>
      <c r="C185" s="157">
        <f t="shared" ref="C185:J185" si="19">AVERAGE(C172:C184)</f>
        <v>0.28063553846153844</v>
      </c>
      <c r="D185" s="157">
        <f t="shared" si="19"/>
        <v>2.1846153846153848E-5</v>
      </c>
      <c r="E185" s="157">
        <f t="shared" si="19"/>
        <v>1.4671688461538464</v>
      </c>
      <c r="F185" s="157">
        <f t="shared" si="19"/>
        <v>3.6384615384615386E-5</v>
      </c>
      <c r="G185" s="157">
        <f t="shared" si="19"/>
        <v>1.1589923076923076E-3</v>
      </c>
      <c r="H185" s="157">
        <f t="shared" si="19"/>
        <v>2.8992307692307698E-5</v>
      </c>
      <c r="I185" s="158">
        <f t="shared" si="19"/>
        <v>3.0009230769230771E-2</v>
      </c>
      <c r="J185" s="158">
        <f t="shared" si="19"/>
        <v>9.7538461538461537E-4</v>
      </c>
      <c r="K185" s="159"/>
      <c r="L185" s="159"/>
      <c r="M185" s="159"/>
      <c r="N185" s="157"/>
      <c r="O185" s="160"/>
      <c r="P185" s="160"/>
    </row>
    <row r="186" spans="1:16">
      <c r="A186" s="34" t="s">
        <v>834</v>
      </c>
      <c r="B186" s="157"/>
      <c r="C186" s="157">
        <f t="shared" ref="C186:J186" si="20">2*(STDEV(C172:C184))</f>
        <v>5.4440275437815047E-5</v>
      </c>
      <c r="D186" s="157">
        <f t="shared" si="20"/>
        <v>2.6890089681459276E-6</v>
      </c>
      <c r="E186" s="157">
        <f t="shared" si="20"/>
        <v>3.4591387693540331E-5</v>
      </c>
      <c r="F186" s="157">
        <f t="shared" si="20"/>
        <v>8.2275335120744246E-6</v>
      </c>
      <c r="G186" s="157">
        <f t="shared" si="20"/>
        <v>7.8810460583833011E-4</v>
      </c>
      <c r="H186" s="157">
        <f t="shared" si="20"/>
        <v>4.5401942802664411E-5</v>
      </c>
      <c r="I186" s="158">
        <f t="shared" si="20"/>
        <v>2.2642051528867627E-2</v>
      </c>
      <c r="J186" s="158">
        <f t="shared" si="20"/>
        <v>1.4254032268008793E-3</v>
      </c>
      <c r="K186" s="159"/>
      <c r="L186" s="159"/>
      <c r="M186" s="159"/>
      <c r="N186" s="157"/>
      <c r="O186" s="160"/>
      <c r="P186" s="160"/>
    </row>
    <row r="187" spans="1:16">
      <c r="C187" s="155"/>
      <c r="D187" s="155"/>
      <c r="E187" s="155"/>
      <c r="F187" s="155"/>
      <c r="G187" s="155"/>
      <c r="H187" s="155"/>
      <c r="I187" s="94"/>
      <c r="J187" s="94"/>
    </row>
    <row r="188" spans="1:16">
      <c r="A188" s="3" t="s">
        <v>835</v>
      </c>
      <c r="C188" s="155">
        <v>0.28247899999999998</v>
      </c>
      <c r="D188" s="155">
        <v>1.8E-5</v>
      </c>
      <c r="E188" s="155">
        <v>1.4671639999999999</v>
      </c>
      <c r="F188" s="155">
        <v>2.8E-5</v>
      </c>
      <c r="G188" s="155">
        <v>1.0876E-4</v>
      </c>
      <c r="H188" s="155">
        <v>8.1999999999999998E-7</v>
      </c>
      <c r="I188" s="94">
        <v>4.4520000000000002E-3</v>
      </c>
      <c r="J188" s="94">
        <v>5.1E-5</v>
      </c>
    </row>
    <row r="189" spans="1:16">
      <c r="A189" s="3" t="s">
        <v>836</v>
      </c>
      <c r="C189" s="155">
        <v>0.28247800000000001</v>
      </c>
      <c r="D189" s="155">
        <v>1.9000000000000001E-5</v>
      </c>
      <c r="E189" s="155">
        <v>1.4671689999999999</v>
      </c>
      <c r="F189" s="155">
        <v>3.4E-5</v>
      </c>
      <c r="G189" s="155">
        <v>1.064E-4</v>
      </c>
      <c r="H189" s="155">
        <v>1.1999999999999999E-6</v>
      </c>
      <c r="I189" s="94">
        <v>4.3369999999999997E-3</v>
      </c>
      <c r="J189" s="94">
        <v>2.9E-5</v>
      </c>
    </row>
    <row r="190" spans="1:16">
      <c r="A190" s="3" t="s">
        <v>837</v>
      </c>
      <c r="C190" s="155">
        <v>0.28248200000000001</v>
      </c>
      <c r="D190" s="155">
        <v>1.8E-5</v>
      </c>
      <c r="E190" s="155">
        <v>1.4671780000000001</v>
      </c>
      <c r="F190" s="155">
        <v>3.1999999999999999E-5</v>
      </c>
      <c r="G190" s="155">
        <v>1.0349999999999999E-4</v>
      </c>
      <c r="H190" s="155">
        <v>1.3E-6</v>
      </c>
      <c r="I190" s="94">
        <v>4.2449999999999996E-3</v>
      </c>
      <c r="J190" s="94">
        <v>3.4999999999999997E-5</v>
      </c>
    </row>
    <row r="191" spans="1:16">
      <c r="A191" s="3" t="s">
        <v>838</v>
      </c>
      <c r="C191" s="155">
        <v>0.28248299999999998</v>
      </c>
      <c r="D191" s="155">
        <v>1.5999999999999999E-5</v>
      </c>
      <c r="E191" s="155">
        <v>1.467158</v>
      </c>
      <c r="F191" s="155">
        <v>3.0000000000000001E-5</v>
      </c>
      <c r="G191" s="155">
        <v>9.98E-5</v>
      </c>
      <c r="H191" s="155">
        <v>1.7999999999999999E-6</v>
      </c>
      <c r="I191" s="94">
        <v>4.0600000000000002E-3</v>
      </c>
      <c r="J191" s="94">
        <v>1.8E-5</v>
      </c>
    </row>
    <row r="192" spans="1:16">
      <c r="A192" s="3" t="s">
        <v>839</v>
      </c>
      <c r="C192" s="155">
        <v>0.282503</v>
      </c>
      <c r="D192" s="155">
        <v>1.7E-5</v>
      </c>
      <c r="E192" s="155">
        <v>1.4671479999999999</v>
      </c>
      <c r="F192" s="155">
        <v>3.3000000000000003E-5</v>
      </c>
      <c r="G192" s="155">
        <v>9.4199999999999999E-5</v>
      </c>
      <c r="H192" s="155">
        <v>3.1E-6</v>
      </c>
      <c r="I192" s="94">
        <v>3.836E-3</v>
      </c>
      <c r="J192" s="94">
        <v>6.0999999999999999E-5</v>
      </c>
    </row>
    <row r="193" spans="1:10">
      <c r="A193" s="3" t="s">
        <v>840</v>
      </c>
      <c r="C193" s="155">
        <v>0.282476</v>
      </c>
      <c r="D193" s="155">
        <v>1.9000000000000001E-5</v>
      </c>
      <c r="E193" s="155">
        <v>1.4671799999999999</v>
      </c>
      <c r="F193" s="155">
        <v>2.5000000000000001E-5</v>
      </c>
      <c r="G193" s="155">
        <v>9.4199999999999999E-5</v>
      </c>
      <c r="H193" s="155">
        <v>3.4000000000000001E-6</v>
      </c>
      <c r="I193" s="94">
        <v>3.8159999999999999E-3</v>
      </c>
      <c r="J193" s="94">
        <v>9.3999999999999994E-5</v>
      </c>
    </row>
    <row r="194" spans="1:10">
      <c r="A194" s="3" t="s">
        <v>841</v>
      </c>
      <c r="C194" s="155">
        <v>0.28248000000000001</v>
      </c>
      <c r="D194" s="155">
        <v>1.9000000000000001E-5</v>
      </c>
      <c r="E194" s="155">
        <v>1.4671590000000001</v>
      </c>
      <c r="F194" s="155">
        <v>3.0000000000000001E-5</v>
      </c>
      <c r="G194" s="155">
        <v>9.2700000000000004E-5</v>
      </c>
      <c r="H194" s="155">
        <v>3.7000000000000002E-6</v>
      </c>
      <c r="I194" s="94">
        <v>3.7690000000000002E-3</v>
      </c>
      <c r="J194" s="94">
        <v>9.3999999999999994E-5</v>
      </c>
    </row>
    <row r="195" spans="1:10">
      <c r="A195" s="3" t="s">
        <v>842</v>
      </c>
      <c r="C195" s="155">
        <v>0.28248099999999998</v>
      </c>
      <c r="D195" s="155">
        <v>2.0000000000000002E-5</v>
      </c>
      <c r="E195" s="155">
        <v>1.467185</v>
      </c>
      <c r="F195" s="155">
        <v>2.8E-5</v>
      </c>
      <c r="G195" s="155">
        <v>9.8099999999999999E-5</v>
      </c>
      <c r="H195" s="155">
        <v>3.1E-6</v>
      </c>
      <c r="I195" s="94">
        <v>3.9500000000000004E-3</v>
      </c>
      <c r="J195" s="94">
        <v>6.6000000000000005E-5</v>
      </c>
    </row>
    <row r="196" spans="1:10">
      <c r="A196" s="3" t="s">
        <v>843</v>
      </c>
      <c r="C196" s="155">
        <v>0.282468</v>
      </c>
      <c r="D196" s="155">
        <v>1.9000000000000001E-5</v>
      </c>
      <c r="E196" s="155">
        <v>1.4671780000000001</v>
      </c>
      <c r="F196" s="155">
        <v>3.3000000000000003E-5</v>
      </c>
      <c r="G196" s="155">
        <v>1.036E-4</v>
      </c>
      <c r="H196" s="155">
        <v>1.7E-6</v>
      </c>
      <c r="I196" s="94">
        <v>4.156E-3</v>
      </c>
      <c r="J196" s="94">
        <v>2.1999999999999999E-5</v>
      </c>
    </row>
    <row r="197" spans="1:10">
      <c r="A197" s="3" t="s">
        <v>844</v>
      </c>
      <c r="C197" s="155">
        <v>0.28248899999999999</v>
      </c>
      <c r="D197" s="155">
        <v>1.8E-5</v>
      </c>
      <c r="E197" s="155">
        <v>1.4671719999999999</v>
      </c>
      <c r="F197" s="155">
        <v>3.6000000000000001E-5</v>
      </c>
      <c r="G197" s="155">
        <v>1.0620000000000001E-4</v>
      </c>
      <c r="H197" s="155">
        <v>1.3E-6</v>
      </c>
      <c r="I197" s="94">
        <v>4.2459999999999998E-3</v>
      </c>
      <c r="J197" s="94">
        <v>3.3000000000000003E-5</v>
      </c>
    </row>
    <row r="198" spans="1:10">
      <c r="A198" s="3" t="s">
        <v>845</v>
      </c>
      <c r="C198" s="155">
        <v>0.28249800000000003</v>
      </c>
      <c r="D198" s="155">
        <v>2.0000000000000002E-5</v>
      </c>
      <c r="E198" s="155">
        <v>1.4671909999999999</v>
      </c>
      <c r="F198" s="155">
        <v>3.6000000000000001E-5</v>
      </c>
      <c r="G198" s="155">
        <v>1.1129999999999999E-4</v>
      </c>
      <c r="H198" s="155">
        <v>7.8000000000000005E-7</v>
      </c>
      <c r="I198" s="94">
        <v>4.4219999999999997E-3</v>
      </c>
      <c r="J198" s="94">
        <v>3.8000000000000002E-5</v>
      </c>
    </row>
    <row r="199" spans="1:10">
      <c r="A199" s="3" t="s">
        <v>846</v>
      </c>
      <c r="C199" s="155">
        <v>0.28247899999999998</v>
      </c>
      <c r="D199" s="155">
        <v>1.9000000000000001E-5</v>
      </c>
      <c r="E199" s="155">
        <v>1.4671700000000001</v>
      </c>
      <c r="F199" s="155">
        <v>3.6000000000000001E-5</v>
      </c>
      <c r="G199" s="155">
        <v>1.1414E-4</v>
      </c>
      <c r="H199" s="155">
        <v>7.3E-7</v>
      </c>
      <c r="I199" s="94">
        <v>4.5409999999999999E-3</v>
      </c>
      <c r="J199" s="94">
        <v>4.5000000000000003E-5</v>
      </c>
    </row>
    <row r="200" spans="1:10">
      <c r="A200" s="3" t="s">
        <v>847</v>
      </c>
      <c r="C200" s="155">
        <v>0.28247100000000003</v>
      </c>
      <c r="D200" s="155">
        <v>2.0000000000000002E-5</v>
      </c>
      <c r="E200" s="155">
        <v>1.467158</v>
      </c>
      <c r="F200" s="155">
        <v>2.9E-5</v>
      </c>
      <c r="G200" s="155">
        <v>1.1644E-4</v>
      </c>
      <c r="H200" s="155">
        <v>7.4000000000000001E-7</v>
      </c>
      <c r="I200" s="94">
        <v>4.6540000000000002E-3</v>
      </c>
      <c r="J200" s="94">
        <v>6.3999999999999997E-5</v>
      </c>
    </row>
    <row r="201" spans="1:10">
      <c r="A201" s="3" t="s">
        <v>848</v>
      </c>
      <c r="C201" s="155">
        <v>0.28248600000000001</v>
      </c>
      <c r="D201" s="155">
        <v>1.9000000000000001E-5</v>
      </c>
      <c r="E201" s="155">
        <v>1.4671559999999999</v>
      </c>
      <c r="F201" s="155">
        <v>3.4999999999999997E-5</v>
      </c>
      <c r="G201" s="155">
        <v>1.1849999999999999E-4</v>
      </c>
      <c r="H201" s="155">
        <v>9.9999999999999995E-7</v>
      </c>
      <c r="I201" s="94">
        <v>4.7489999999999997E-3</v>
      </c>
      <c r="J201" s="94">
        <v>6.2000000000000003E-5</v>
      </c>
    </row>
    <row r="202" spans="1:10">
      <c r="A202" s="3" t="s">
        <v>849</v>
      </c>
      <c r="C202" s="155">
        <v>0.28248000000000001</v>
      </c>
      <c r="D202" s="155">
        <v>1.9000000000000001E-5</v>
      </c>
      <c r="E202" s="155">
        <v>1.4671810000000001</v>
      </c>
      <c r="F202" s="155">
        <v>3.1999999999999999E-5</v>
      </c>
      <c r="G202" s="155">
        <v>1.1382E-4</v>
      </c>
      <c r="H202" s="155">
        <v>9.5000000000000001E-7</v>
      </c>
      <c r="I202" s="94">
        <v>4.5560000000000002E-3</v>
      </c>
      <c r="J202" s="94">
        <v>3.8000000000000002E-5</v>
      </c>
    </row>
    <row r="203" spans="1:10">
      <c r="A203" s="3" t="s">
        <v>850</v>
      </c>
      <c r="C203" s="155">
        <v>0.28246500000000002</v>
      </c>
      <c r="D203" s="155">
        <v>1.8E-5</v>
      </c>
      <c r="E203" s="155">
        <v>1.467147</v>
      </c>
      <c r="F203" s="155">
        <v>3.8000000000000002E-5</v>
      </c>
      <c r="G203" s="155">
        <v>1.116E-4</v>
      </c>
      <c r="H203" s="155">
        <v>1.1999999999999999E-6</v>
      </c>
      <c r="I203" s="94">
        <v>4.47E-3</v>
      </c>
      <c r="J203" s="94">
        <v>2.5999999999999998E-5</v>
      </c>
    </row>
    <row r="204" spans="1:10">
      <c r="A204" s="3" t="s">
        <v>851</v>
      </c>
      <c r="C204" s="155">
        <v>0.28247499999999998</v>
      </c>
      <c r="D204" s="155">
        <v>1.8E-5</v>
      </c>
      <c r="E204" s="155">
        <v>1.4671650000000001</v>
      </c>
      <c r="F204" s="155">
        <v>4.1999999999999998E-5</v>
      </c>
      <c r="G204" s="155">
        <v>1.106E-4</v>
      </c>
      <c r="H204" s="155">
        <v>1.5E-6</v>
      </c>
      <c r="I204" s="94">
        <v>4.4470000000000004E-3</v>
      </c>
      <c r="J204" s="94">
        <v>2.5999999999999998E-5</v>
      </c>
    </row>
    <row r="205" spans="1:10">
      <c r="A205" s="3" t="s">
        <v>852</v>
      </c>
      <c r="C205" s="155">
        <v>0.28247899999999998</v>
      </c>
      <c r="D205" s="155">
        <v>1.8E-5</v>
      </c>
      <c r="E205" s="155">
        <v>1.4671959999999999</v>
      </c>
      <c r="F205" s="155">
        <v>3.0000000000000001E-5</v>
      </c>
      <c r="G205" s="155">
        <v>1.082E-4</v>
      </c>
      <c r="H205" s="155">
        <v>1.5999999999999999E-6</v>
      </c>
      <c r="I205" s="94">
        <v>4.3620000000000004E-3</v>
      </c>
      <c r="J205" s="94">
        <v>2.9E-5</v>
      </c>
    </row>
    <row r="206" spans="1:10">
      <c r="A206" s="3" t="s">
        <v>853</v>
      </c>
      <c r="C206" s="155">
        <v>0.28248400000000001</v>
      </c>
      <c r="D206" s="155">
        <v>1.8E-5</v>
      </c>
      <c r="E206" s="155">
        <v>1.4671650000000001</v>
      </c>
      <c r="F206" s="155">
        <v>2.8E-5</v>
      </c>
      <c r="G206" s="155">
        <v>1.036E-4</v>
      </c>
      <c r="H206" s="155">
        <v>2.7999999999999999E-6</v>
      </c>
      <c r="I206" s="94">
        <v>4.176E-3</v>
      </c>
      <c r="J206" s="94">
        <v>4.6999999999999997E-5</v>
      </c>
    </row>
    <row r="207" spans="1:10">
      <c r="A207" s="3" t="s">
        <v>854</v>
      </c>
      <c r="C207" s="155">
        <v>0.282474</v>
      </c>
      <c r="D207" s="155">
        <v>1.9000000000000001E-5</v>
      </c>
      <c r="E207" s="155">
        <v>1.4671890000000001</v>
      </c>
      <c r="F207" s="155">
        <v>3.0000000000000001E-5</v>
      </c>
      <c r="G207" s="155">
        <v>9.7E-5</v>
      </c>
      <c r="H207" s="155">
        <v>3.8E-6</v>
      </c>
      <c r="I207" s="94">
        <v>3.934E-3</v>
      </c>
      <c r="J207" s="94">
        <v>9.2E-5</v>
      </c>
    </row>
    <row r="208" spans="1:10">
      <c r="A208" s="3" t="s">
        <v>855</v>
      </c>
      <c r="C208" s="155">
        <v>0.28248600000000001</v>
      </c>
      <c r="D208" s="155">
        <v>1.8E-5</v>
      </c>
      <c r="E208" s="155">
        <v>1.4671700000000001</v>
      </c>
      <c r="F208" s="155">
        <v>2.9E-5</v>
      </c>
      <c r="G208" s="155">
        <v>9.1680000000000003E-5</v>
      </c>
      <c r="H208" s="155">
        <v>4.7E-7</v>
      </c>
      <c r="I208" s="94">
        <v>3.65E-3</v>
      </c>
      <c r="J208" s="94">
        <v>5.8E-5</v>
      </c>
    </row>
    <row r="209" spans="1:10">
      <c r="A209" s="3" t="s">
        <v>856</v>
      </c>
      <c r="C209" s="155">
        <v>0.28246900000000003</v>
      </c>
      <c r="D209" s="155">
        <v>2.0000000000000002E-5</v>
      </c>
      <c r="E209" s="155">
        <v>1.467155</v>
      </c>
      <c r="F209" s="155">
        <v>3.6000000000000001E-5</v>
      </c>
      <c r="G209" s="155">
        <v>8.7769999999999995E-5</v>
      </c>
      <c r="H209" s="155">
        <v>4.7999999999999996E-7</v>
      </c>
      <c r="I209" s="94">
        <v>3.4880000000000002E-3</v>
      </c>
      <c r="J209" s="94">
        <v>4.6E-5</v>
      </c>
    </row>
    <row r="210" spans="1:10">
      <c r="A210" s="3" t="s">
        <v>857</v>
      </c>
      <c r="C210" s="155">
        <v>0.28248699999999999</v>
      </c>
      <c r="D210" s="155">
        <v>1.7E-5</v>
      </c>
      <c r="E210" s="155">
        <v>1.4671689999999999</v>
      </c>
      <c r="F210" s="155">
        <v>3.8000000000000002E-5</v>
      </c>
      <c r="G210" s="155">
        <v>8.4969999999999995E-5</v>
      </c>
      <c r="H210" s="155">
        <v>6.9999999999999997E-7</v>
      </c>
      <c r="I210" s="94">
        <v>3.385E-3</v>
      </c>
      <c r="J210" s="94">
        <v>3.8999999999999999E-5</v>
      </c>
    </row>
    <row r="211" spans="1:10">
      <c r="A211" s="3" t="s">
        <v>858</v>
      </c>
      <c r="C211" s="155">
        <v>0.28249400000000002</v>
      </c>
      <c r="D211" s="155">
        <v>1.9000000000000001E-5</v>
      </c>
      <c r="E211" s="155">
        <v>1.4671620000000001</v>
      </c>
      <c r="F211" s="155">
        <v>3.4E-5</v>
      </c>
      <c r="G211" s="155">
        <v>8.2589999999999994E-5</v>
      </c>
      <c r="H211" s="155">
        <v>9.1999999999999998E-7</v>
      </c>
      <c r="I211" s="94">
        <v>3.3050000000000002E-3</v>
      </c>
      <c r="J211" s="94">
        <v>2.5000000000000001E-5</v>
      </c>
    </row>
    <row r="212" spans="1:10">
      <c r="A212" s="3" t="s">
        <v>859</v>
      </c>
      <c r="C212" s="155">
        <v>0.28247100000000003</v>
      </c>
      <c r="D212" s="155">
        <v>2.0000000000000002E-5</v>
      </c>
      <c r="E212" s="155">
        <v>1.4671670000000001</v>
      </c>
      <c r="F212" s="155">
        <v>3.4E-5</v>
      </c>
      <c r="G212" s="155">
        <v>8.0099999999999995E-5</v>
      </c>
      <c r="H212" s="155">
        <v>1.3999999999999999E-6</v>
      </c>
      <c r="I212" s="94">
        <v>3.202E-3</v>
      </c>
      <c r="J212" s="94">
        <v>1.9000000000000001E-5</v>
      </c>
    </row>
    <row r="213" spans="1:10">
      <c r="A213" s="3" t="s">
        <v>860</v>
      </c>
      <c r="C213" s="155">
        <v>0.28248899999999999</v>
      </c>
      <c r="D213" s="155">
        <v>1.8E-5</v>
      </c>
      <c r="E213" s="155">
        <v>1.467179</v>
      </c>
      <c r="F213" s="155">
        <v>3.3000000000000003E-5</v>
      </c>
      <c r="G213" s="155">
        <v>7.7700000000000005E-5</v>
      </c>
      <c r="H213" s="155">
        <v>1.5E-6</v>
      </c>
      <c r="I213" s="94">
        <v>3.1250000000000002E-3</v>
      </c>
      <c r="J213" s="94">
        <v>3.6000000000000001E-5</v>
      </c>
    </row>
    <row r="214" spans="1:10">
      <c r="A214" s="3" t="s">
        <v>861</v>
      </c>
      <c r="C214" s="155">
        <v>0.282476</v>
      </c>
      <c r="D214" s="155">
        <v>1.8E-5</v>
      </c>
      <c r="E214" s="155">
        <v>1.467174</v>
      </c>
      <c r="F214" s="155">
        <v>3.1999999999999999E-5</v>
      </c>
      <c r="G214" s="155">
        <v>8.03E-5</v>
      </c>
      <c r="H214" s="155">
        <v>1.9E-6</v>
      </c>
      <c r="I214" s="94">
        <v>3.2130000000000001E-3</v>
      </c>
      <c r="J214" s="94">
        <v>3.6999999999999998E-5</v>
      </c>
    </row>
    <row r="215" spans="1:10">
      <c r="A215" s="3" t="s">
        <v>862</v>
      </c>
      <c r="C215" s="155">
        <v>0.28249000000000002</v>
      </c>
      <c r="D215" s="155">
        <v>1.5999999999999999E-5</v>
      </c>
      <c r="E215" s="155">
        <v>1.467171</v>
      </c>
      <c r="F215" s="155">
        <v>2.9E-5</v>
      </c>
      <c r="G215" s="155">
        <v>8.3900000000000006E-5</v>
      </c>
      <c r="H215" s="155">
        <v>1.7E-6</v>
      </c>
      <c r="I215" s="94">
        <v>3.3059999999999999E-3</v>
      </c>
      <c r="J215" s="94">
        <v>2.1999999999999999E-5</v>
      </c>
    </row>
    <row r="216" spans="1:10">
      <c r="A216" s="3" t="s">
        <v>863</v>
      </c>
      <c r="C216" s="155">
        <v>0.28248000000000001</v>
      </c>
      <c r="D216" s="155">
        <v>1.7E-5</v>
      </c>
      <c r="E216" s="155">
        <v>1.4671700000000001</v>
      </c>
      <c r="F216" s="155">
        <v>2.8E-5</v>
      </c>
      <c r="G216" s="155">
        <v>8.7100000000000003E-5</v>
      </c>
      <c r="H216" s="155">
        <v>9.9999999999999995E-7</v>
      </c>
      <c r="I216" s="94">
        <v>3.392E-3</v>
      </c>
      <c r="J216" s="94">
        <v>1.2999999999999999E-5</v>
      </c>
    </row>
    <row r="217" spans="1:10">
      <c r="A217" s="3" t="s">
        <v>864</v>
      </c>
      <c r="C217" s="155">
        <v>0.28248000000000001</v>
      </c>
      <c r="D217" s="155">
        <v>1.7E-5</v>
      </c>
      <c r="E217" s="155">
        <v>1.467166</v>
      </c>
      <c r="F217" s="155">
        <v>3.3000000000000003E-5</v>
      </c>
      <c r="G217" s="155">
        <v>8.9339999999999995E-5</v>
      </c>
      <c r="H217" s="155">
        <v>8.8999999999999995E-7</v>
      </c>
      <c r="I217" s="94">
        <v>3.46E-3</v>
      </c>
      <c r="J217" s="94">
        <v>2.1999999999999999E-5</v>
      </c>
    </row>
    <row r="218" spans="1:10">
      <c r="A218" s="3" t="s">
        <v>865</v>
      </c>
      <c r="C218" s="155">
        <v>0.28247899999999998</v>
      </c>
      <c r="D218" s="155">
        <v>2.1999999999999999E-5</v>
      </c>
      <c r="E218" s="155">
        <v>1.4671609999999999</v>
      </c>
      <c r="F218" s="155">
        <v>3.4999999999999997E-5</v>
      </c>
      <c r="G218" s="155">
        <v>9.1340000000000003E-5</v>
      </c>
      <c r="H218" s="155">
        <v>6.5000000000000002E-7</v>
      </c>
      <c r="I218" s="94">
        <v>3.5379999999999999E-3</v>
      </c>
      <c r="J218" s="94">
        <v>2.3E-5</v>
      </c>
    </row>
    <row r="219" spans="1:10">
      <c r="A219" s="3" t="s">
        <v>866</v>
      </c>
      <c r="C219" s="155">
        <v>0.28248800000000002</v>
      </c>
      <c r="D219" s="155">
        <v>1.9000000000000001E-5</v>
      </c>
      <c r="E219" s="155">
        <v>1.467166</v>
      </c>
      <c r="F219" s="155">
        <v>3.1999999999999999E-5</v>
      </c>
      <c r="G219" s="155">
        <v>9.467E-5</v>
      </c>
      <c r="H219" s="155">
        <v>4.4999999999999998E-7</v>
      </c>
      <c r="I219" s="94">
        <v>3.686E-3</v>
      </c>
      <c r="J219" s="94">
        <v>3.8999999999999999E-5</v>
      </c>
    </row>
    <row r="220" spans="1:10">
      <c r="C220" s="155"/>
      <c r="D220" s="155"/>
      <c r="E220" s="155"/>
      <c r="F220" s="155"/>
      <c r="G220" s="155"/>
      <c r="H220" s="155"/>
      <c r="I220" s="94"/>
      <c r="J220" s="94"/>
    </row>
    <row r="221" spans="1:10">
      <c r="A221" s="3" t="s">
        <v>666</v>
      </c>
      <c r="C221" s="155">
        <v>0.28230899999999998</v>
      </c>
      <c r="D221" s="155">
        <v>2.0999999999999999E-5</v>
      </c>
      <c r="E221" s="155">
        <v>1.4671639999999999</v>
      </c>
      <c r="F221" s="155">
        <v>3.6000000000000001E-5</v>
      </c>
      <c r="G221" s="155">
        <v>3.8420000000000001E-4</v>
      </c>
      <c r="H221" s="155">
        <v>1.7E-6</v>
      </c>
      <c r="I221" s="94">
        <v>1.0540000000000001E-2</v>
      </c>
      <c r="J221" s="94">
        <v>1.7000000000000001E-4</v>
      </c>
    </row>
    <row r="222" spans="1:10">
      <c r="A222" s="3" t="s">
        <v>667</v>
      </c>
      <c r="C222" s="155">
        <v>0.28230300000000003</v>
      </c>
      <c r="D222" s="155">
        <v>2.8E-5</v>
      </c>
      <c r="E222" s="155">
        <v>1.4671749999999999</v>
      </c>
      <c r="F222" s="155">
        <v>4.3000000000000002E-5</v>
      </c>
      <c r="G222" s="155">
        <v>3.8890000000000002E-4</v>
      </c>
      <c r="H222" s="155">
        <v>1.1999999999999999E-6</v>
      </c>
      <c r="I222" s="94">
        <v>1.052E-2</v>
      </c>
      <c r="J222" s="94">
        <v>1.9000000000000001E-4</v>
      </c>
    </row>
    <row r="223" spans="1:10">
      <c r="A223" s="3" t="s">
        <v>668</v>
      </c>
      <c r="C223" s="155">
        <v>0.28231800000000001</v>
      </c>
      <c r="D223" s="155">
        <v>2.5000000000000001E-5</v>
      </c>
      <c r="E223" s="155">
        <v>1.4671590000000001</v>
      </c>
      <c r="F223" s="155">
        <v>4.3999999999999999E-5</v>
      </c>
      <c r="G223" s="155">
        <v>3.5050000000000001E-4</v>
      </c>
      <c r="H223" s="155">
        <v>6.3999999999999997E-6</v>
      </c>
      <c r="I223" s="94">
        <v>9.3849999999999992E-3</v>
      </c>
      <c r="J223" s="94">
        <v>7.6000000000000004E-5</v>
      </c>
    </row>
    <row r="224" spans="1:10">
      <c r="A224" s="3" t="s">
        <v>669</v>
      </c>
      <c r="C224" s="155">
        <v>0.28232600000000002</v>
      </c>
      <c r="D224" s="155">
        <v>2.4000000000000001E-5</v>
      </c>
      <c r="E224" s="155">
        <v>1.4671540000000001</v>
      </c>
      <c r="F224" s="155">
        <v>4.3999999999999999E-5</v>
      </c>
      <c r="G224" s="155">
        <v>2.8459999999999998E-4</v>
      </c>
      <c r="H224" s="155">
        <v>2.5000000000000002E-6</v>
      </c>
      <c r="I224" s="94">
        <v>7.6299999999999996E-3</v>
      </c>
      <c r="J224" s="94">
        <v>1.1E-4</v>
      </c>
    </row>
    <row r="225" spans="1:16">
      <c r="A225" s="3" t="s">
        <v>670</v>
      </c>
      <c r="C225" s="155">
        <v>0.28231099999999998</v>
      </c>
      <c r="D225" s="155">
        <v>2.4000000000000001E-5</v>
      </c>
      <c r="E225" s="155">
        <v>1.467182</v>
      </c>
      <c r="F225" s="155">
        <v>4.1999999999999998E-5</v>
      </c>
      <c r="G225" s="155">
        <v>2.8099E-4</v>
      </c>
      <c r="H225" s="155">
        <v>4.9999999999999998E-7</v>
      </c>
      <c r="I225" s="94">
        <v>7.5700000000000003E-3</v>
      </c>
      <c r="J225" s="94">
        <v>1.4999999999999999E-4</v>
      </c>
    </row>
    <row r="226" spans="1:16">
      <c r="A226" s="3" t="s">
        <v>671</v>
      </c>
      <c r="C226" s="155">
        <v>0.28232000000000002</v>
      </c>
      <c r="D226" s="155">
        <v>2.5999999999999998E-5</v>
      </c>
      <c r="E226" s="155">
        <v>1.4671510000000001</v>
      </c>
      <c r="F226" s="155">
        <v>4.8000000000000001E-5</v>
      </c>
      <c r="G226" s="155">
        <v>2.9809999999999998E-4</v>
      </c>
      <c r="H226" s="155">
        <v>1.3999999999999999E-6</v>
      </c>
      <c r="I226" s="94">
        <v>7.92E-3</v>
      </c>
      <c r="J226" s="94">
        <v>1.6000000000000001E-4</v>
      </c>
    </row>
    <row r="227" spans="1:16">
      <c r="A227" s="3" t="s">
        <v>685</v>
      </c>
      <c r="C227" s="155">
        <v>0.282302</v>
      </c>
      <c r="D227" s="155">
        <v>2.5000000000000001E-5</v>
      </c>
      <c r="E227" s="155">
        <v>1.4671700000000001</v>
      </c>
      <c r="F227" s="155">
        <v>4.1E-5</v>
      </c>
      <c r="G227" s="155">
        <v>3.1930000000000001E-4</v>
      </c>
      <c r="H227" s="155">
        <v>4.4000000000000002E-7</v>
      </c>
      <c r="I227" s="94">
        <v>8.6999999999999994E-3</v>
      </c>
      <c r="J227" s="94">
        <v>1.7000000000000001E-4</v>
      </c>
    </row>
    <row r="228" spans="1:16">
      <c r="A228" s="3" t="s">
        <v>672</v>
      </c>
      <c r="C228" s="155">
        <v>0.28231299999999998</v>
      </c>
      <c r="D228" s="155">
        <v>2.3E-5</v>
      </c>
      <c r="E228" s="155">
        <v>1.4671559999999999</v>
      </c>
      <c r="F228" s="155">
        <v>5.0000000000000002E-5</v>
      </c>
      <c r="G228" s="155">
        <v>2.765E-4</v>
      </c>
      <c r="H228" s="155">
        <v>5.3000000000000001E-7</v>
      </c>
      <c r="I228" s="94">
        <v>7.43E-3</v>
      </c>
      <c r="J228" s="94">
        <v>1.6000000000000001E-4</v>
      </c>
    </row>
    <row r="229" spans="1:16">
      <c r="A229" s="3" t="s">
        <v>673</v>
      </c>
      <c r="C229" s="155">
        <v>0.28232000000000002</v>
      </c>
      <c r="D229" s="155">
        <v>2.3E-5</v>
      </c>
      <c r="E229" s="155">
        <v>1.4672069999999999</v>
      </c>
      <c r="F229" s="155">
        <v>4.3999999999999999E-5</v>
      </c>
      <c r="G229" s="155">
        <v>2.9379999999999999E-4</v>
      </c>
      <c r="H229" s="155">
        <v>3.5999999999999998E-6</v>
      </c>
      <c r="I229" s="94">
        <v>7.77E-3</v>
      </c>
      <c r="J229" s="94">
        <v>6.3E-5</v>
      </c>
    </row>
    <row r="230" spans="1:16">
      <c r="A230" s="3" t="s">
        <v>674</v>
      </c>
      <c r="C230" s="155">
        <v>0.28228300000000001</v>
      </c>
      <c r="D230" s="155">
        <v>2.8E-5</v>
      </c>
      <c r="E230" s="155">
        <v>1.467179</v>
      </c>
      <c r="F230" s="155">
        <v>4.3999999999999999E-5</v>
      </c>
      <c r="G230" s="155">
        <v>3.6739999999999999E-4</v>
      </c>
      <c r="H230" s="155">
        <v>5.6999999999999996E-6</v>
      </c>
      <c r="I230" s="94">
        <v>9.7769999999999992E-3</v>
      </c>
      <c r="J230" s="94">
        <v>7.1000000000000005E-5</v>
      </c>
    </row>
    <row r="231" spans="1:16">
      <c r="A231" s="3" t="s">
        <v>675</v>
      </c>
      <c r="C231" s="155">
        <v>0.28229399999999999</v>
      </c>
      <c r="D231" s="155">
        <v>2.5999999999999998E-5</v>
      </c>
      <c r="E231" s="155">
        <v>1.467133</v>
      </c>
      <c r="F231" s="155">
        <v>4.8000000000000001E-5</v>
      </c>
      <c r="G231" s="155">
        <v>3.812E-4</v>
      </c>
      <c r="H231" s="155">
        <v>1.1000000000000001E-6</v>
      </c>
      <c r="I231" s="94">
        <v>1.014E-2</v>
      </c>
      <c r="J231" s="94">
        <v>1.9000000000000001E-4</v>
      </c>
    </row>
    <row r="232" spans="1:16">
      <c r="A232" s="3" t="s">
        <v>676</v>
      </c>
      <c r="C232" s="155">
        <v>0.282333</v>
      </c>
      <c r="D232" s="155">
        <v>2.5000000000000001E-5</v>
      </c>
      <c r="E232" s="155">
        <v>1.4672149999999999</v>
      </c>
      <c r="F232" s="155">
        <v>4.0000000000000003E-5</v>
      </c>
      <c r="G232" s="155">
        <v>3.8039999999999998E-4</v>
      </c>
      <c r="H232" s="155">
        <v>1.3E-6</v>
      </c>
      <c r="I232" s="94">
        <v>1.0030000000000001E-2</v>
      </c>
      <c r="J232" s="94">
        <v>1.1E-4</v>
      </c>
    </row>
    <row r="233" spans="1:16">
      <c r="A233" s="3" t="s">
        <v>677</v>
      </c>
      <c r="C233" s="155">
        <v>0.28228599999999998</v>
      </c>
      <c r="D233" s="155">
        <v>3.0000000000000001E-5</v>
      </c>
      <c r="E233" s="155">
        <v>1.467096</v>
      </c>
      <c r="F233" s="155">
        <v>4.1E-5</v>
      </c>
      <c r="G233" s="155">
        <v>3.7076999999999998E-4</v>
      </c>
      <c r="H233" s="155">
        <v>3.3999999999999997E-7</v>
      </c>
      <c r="I233" s="94">
        <v>9.7900000000000001E-3</v>
      </c>
      <c r="J233" s="94">
        <v>1.2999999999999999E-4</v>
      </c>
    </row>
    <row r="234" spans="1:16">
      <c r="A234" s="34" t="s">
        <v>833</v>
      </c>
      <c r="B234" s="174"/>
      <c r="C234" s="157">
        <f t="shared" ref="C234:J234" si="21">AVERAGE(C221:C233)</f>
        <v>0.28230907692307688</v>
      </c>
      <c r="D234" s="157">
        <f t="shared" si="21"/>
        <v>2.5230769230769232E-5</v>
      </c>
      <c r="E234" s="157">
        <f t="shared" si="21"/>
        <v>1.4671646923076922</v>
      </c>
      <c r="F234" s="157">
        <f t="shared" si="21"/>
        <v>4.3461538461538456E-5</v>
      </c>
      <c r="G234" s="157">
        <f t="shared" si="21"/>
        <v>3.3666615384615387E-4</v>
      </c>
      <c r="H234" s="157">
        <f t="shared" si="21"/>
        <v>2.0546153846153848E-6</v>
      </c>
      <c r="I234" s="158">
        <f t="shared" si="21"/>
        <v>9.015538461538462E-3</v>
      </c>
      <c r="J234" s="158">
        <f t="shared" si="21"/>
        <v>1.3461538461538461E-4</v>
      </c>
      <c r="K234" s="159"/>
      <c r="L234" s="159"/>
      <c r="M234" s="159"/>
      <c r="N234" s="157"/>
      <c r="O234" s="160"/>
      <c r="P234" s="160"/>
    </row>
    <row r="235" spans="1:16">
      <c r="A235" s="34" t="s">
        <v>834</v>
      </c>
      <c r="B235" s="157"/>
      <c r="C235" s="157">
        <f t="shared" ref="C235:J235" si="22">2*(STDEV(C221:C233))</f>
        <v>3.0127081266556454E-5</v>
      </c>
      <c r="D235" s="157">
        <f t="shared" si="22"/>
        <v>4.8410636678210948E-6</v>
      </c>
      <c r="E235" s="157">
        <f t="shared" si="22"/>
        <v>6.0807809889729996E-5</v>
      </c>
      <c r="F235" s="157">
        <f t="shared" si="22"/>
        <v>7.4661629866745982E-6</v>
      </c>
      <c r="G235" s="157">
        <f t="shared" si="22"/>
        <v>8.9888623877352263E-5</v>
      </c>
      <c r="H235" s="157">
        <f t="shared" si="22"/>
        <v>3.9921307208441572E-6</v>
      </c>
      <c r="I235" s="158">
        <f t="shared" si="22"/>
        <v>2.4201525592938171E-3</v>
      </c>
      <c r="J235" s="158">
        <f t="shared" si="22"/>
        <v>8.9459631348590092E-5</v>
      </c>
      <c r="K235" s="159"/>
      <c r="L235" s="159"/>
      <c r="M235" s="159"/>
      <c r="N235" s="157"/>
      <c r="O235" s="160"/>
      <c r="P235" s="160"/>
    </row>
    <row r="236" spans="1:16">
      <c r="C236" s="155"/>
      <c r="D236" s="155"/>
      <c r="E236" s="155"/>
      <c r="F236" s="155"/>
      <c r="G236" s="155"/>
      <c r="H236" s="155"/>
      <c r="I236" s="94"/>
      <c r="J236" s="94"/>
    </row>
    <row r="237" spans="1:16">
      <c r="A237" s="3" t="s">
        <v>867</v>
      </c>
      <c r="C237" s="155">
        <v>0.28218900000000002</v>
      </c>
      <c r="D237" s="155">
        <v>2.5000000000000001E-5</v>
      </c>
      <c r="E237" s="155">
        <v>1.4671959999999999</v>
      </c>
      <c r="F237" s="155">
        <v>3.8999999999999999E-5</v>
      </c>
      <c r="G237" s="155">
        <v>1.5642E-3</v>
      </c>
      <c r="H237" s="155">
        <v>5.0000000000000004E-6</v>
      </c>
      <c r="I237" s="94">
        <v>4.8730000000000002E-2</v>
      </c>
      <c r="J237" s="94">
        <v>6.7000000000000002E-4</v>
      </c>
    </row>
    <row r="238" spans="1:16">
      <c r="A238" s="3" t="s">
        <v>868</v>
      </c>
      <c r="C238" s="155">
        <v>0.28220499999999998</v>
      </c>
      <c r="D238" s="155">
        <v>2.5999999999999998E-5</v>
      </c>
      <c r="E238" s="155">
        <v>1.4671650000000001</v>
      </c>
      <c r="F238" s="155">
        <v>3.6999999999999998E-5</v>
      </c>
      <c r="G238" s="155">
        <v>2.5639999999999999E-3</v>
      </c>
      <c r="H238" s="155">
        <v>6.0000000000000002E-6</v>
      </c>
      <c r="I238" s="94">
        <v>7.4899999999999994E-2</v>
      </c>
      <c r="J238" s="94">
        <v>7.6000000000000004E-4</v>
      </c>
    </row>
    <row r="239" spans="1:16">
      <c r="A239" s="3" t="s">
        <v>869</v>
      </c>
      <c r="C239" s="155">
        <v>0.28218900000000002</v>
      </c>
      <c r="D239" s="155">
        <v>2.1999999999999999E-5</v>
      </c>
      <c r="E239" s="155">
        <v>1.4671689999999999</v>
      </c>
      <c r="F239" s="155">
        <v>4.6E-5</v>
      </c>
      <c r="G239" s="155">
        <v>1.193E-3</v>
      </c>
      <c r="H239" s="155">
        <v>1.0000000000000001E-5</v>
      </c>
      <c r="I239" s="94">
        <v>3.6920000000000001E-2</v>
      </c>
      <c r="J239" s="94">
        <v>2.9999999999999997E-4</v>
      </c>
    </row>
    <row r="240" spans="1:16">
      <c r="A240" s="3" t="s">
        <v>870</v>
      </c>
      <c r="C240" s="155">
        <v>0.282169</v>
      </c>
      <c r="D240" s="155">
        <v>2.4000000000000001E-5</v>
      </c>
      <c r="E240" s="155">
        <v>1.4671780000000001</v>
      </c>
      <c r="F240" s="155">
        <v>3.1999999999999999E-5</v>
      </c>
      <c r="G240" s="155">
        <v>1.2581000000000001E-3</v>
      </c>
      <c r="H240" s="155">
        <v>1.5E-6</v>
      </c>
      <c r="I240" s="94">
        <v>3.8179999999999999E-2</v>
      </c>
      <c r="J240" s="94">
        <v>6.3000000000000003E-4</v>
      </c>
    </row>
    <row r="241" spans="1:16">
      <c r="A241" s="3" t="s">
        <v>871</v>
      </c>
      <c r="C241" s="155">
        <v>0.28219699999999998</v>
      </c>
      <c r="D241" s="155">
        <v>2.3E-5</v>
      </c>
      <c r="E241" s="155">
        <v>1.4672050000000001</v>
      </c>
      <c r="F241" s="155">
        <v>3.8000000000000002E-5</v>
      </c>
      <c r="G241" s="155">
        <v>1.474E-3</v>
      </c>
      <c r="H241" s="155">
        <v>2.5999999999999998E-5</v>
      </c>
      <c r="I241" s="94">
        <v>4.5400000000000003E-2</v>
      </c>
      <c r="J241" s="94">
        <v>1.2999999999999999E-3</v>
      </c>
    </row>
    <row r="242" spans="1:16">
      <c r="A242" s="3" t="s">
        <v>872</v>
      </c>
      <c r="C242" s="155">
        <v>0.28218199999999999</v>
      </c>
      <c r="D242" s="155">
        <v>1.9000000000000001E-5</v>
      </c>
      <c r="E242" s="155">
        <v>1.46715</v>
      </c>
      <c r="F242" s="155">
        <v>4.3999999999999999E-5</v>
      </c>
      <c r="G242" s="155">
        <v>5.9900000000000003E-4</v>
      </c>
      <c r="H242" s="155">
        <v>1.3999999999999999E-6</v>
      </c>
      <c r="I242" s="94">
        <v>1.712E-2</v>
      </c>
      <c r="J242" s="94">
        <v>2.3000000000000001E-4</v>
      </c>
    </row>
    <row r="243" spans="1:16">
      <c r="A243" s="3" t="s">
        <v>873</v>
      </c>
      <c r="C243" s="155">
        <v>0.282161</v>
      </c>
      <c r="D243" s="155">
        <v>2.0000000000000002E-5</v>
      </c>
      <c r="E243" s="155">
        <v>1.4671650000000001</v>
      </c>
      <c r="F243" s="155">
        <v>4.3000000000000002E-5</v>
      </c>
      <c r="G243" s="155">
        <v>1.057E-3</v>
      </c>
      <c r="H243" s="155">
        <v>1.2E-5</v>
      </c>
      <c r="I243" s="94">
        <v>3.1419999999999997E-2</v>
      </c>
      <c r="J243" s="94">
        <v>1.8000000000000001E-4</v>
      </c>
    </row>
    <row r="244" spans="1:16">
      <c r="A244" s="3" t="s">
        <v>874</v>
      </c>
      <c r="C244" s="155">
        <v>0.28220099999999998</v>
      </c>
      <c r="D244" s="155">
        <v>2.6999999999999999E-5</v>
      </c>
      <c r="E244" s="155">
        <v>1.4671620000000001</v>
      </c>
      <c r="F244" s="155">
        <v>4.3999999999999999E-5</v>
      </c>
      <c r="G244" s="155">
        <v>1.9880000000000002E-3</v>
      </c>
      <c r="H244" s="155">
        <v>4.3999999999999999E-5</v>
      </c>
      <c r="I244" s="94">
        <v>5.8900000000000001E-2</v>
      </c>
      <c r="J244" s="94">
        <v>2.3999999999999998E-3</v>
      </c>
    </row>
    <row r="245" spans="1:16">
      <c r="A245" s="3" t="s">
        <v>875</v>
      </c>
      <c r="C245" s="155">
        <v>0.28219699999999998</v>
      </c>
      <c r="D245" s="155">
        <v>1.9000000000000001E-5</v>
      </c>
      <c r="E245" s="155">
        <v>1.467182</v>
      </c>
      <c r="F245" s="155">
        <v>4.0000000000000003E-5</v>
      </c>
      <c r="G245" s="155">
        <v>1.307E-3</v>
      </c>
      <c r="H245" s="155">
        <v>1.9000000000000001E-5</v>
      </c>
      <c r="I245" s="94">
        <v>3.8390000000000001E-2</v>
      </c>
      <c r="J245" s="94">
        <v>9.1E-4</v>
      </c>
    </row>
    <row r="246" spans="1:16">
      <c r="A246" s="3" t="s">
        <v>876</v>
      </c>
      <c r="C246" s="155">
        <v>0.282169</v>
      </c>
      <c r="D246" s="155">
        <v>2.1999999999999999E-5</v>
      </c>
      <c r="E246" s="155">
        <v>1.467152</v>
      </c>
      <c r="F246" s="155">
        <v>4.5000000000000003E-5</v>
      </c>
      <c r="G246" s="155">
        <v>1.2145000000000001E-3</v>
      </c>
      <c r="H246" s="155">
        <v>1.3999999999999999E-6</v>
      </c>
      <c r="I246" s="94">
        <v>3.6450000000000003E-2</v>
      </c>
      <c r="J246" s="94">
        <v>4.8999999999999998E-4</v>
      </c>
    </row>
    <row r="247" spans="1:16">
      <c r="A247" s="3" t="s">
        <v>877</v>
      </c>
      <c r="C247" s="155">
        <v>0.282167</v>
      </c>
      <c r="D247" s="155">
        <v>2.1999999999999999E-5</v>
      </c>
      <c r="E247" s="155">
        <v>1.4671380000000001</v>
      </c>
      <c r="F247" s="155">
        <v>4.6E-5</v>
      </c>
      <c r="G247" s="155">
        <v>8.34E-4</v>
      </c>
      <c r="H247" s="155">
        <v>3.1999999999999999E-5</v>
      </c>
      <c r="I247" s="94">
        <v>2.4570000000000002E-2</v>
      </c>
      <c r="J247" s="94">
        <v>7.6999999999999996E-4</v>
      </c>
    </row>
    <row r="248" spans="1:16">
      <c r="A248" s="3" t="s">
        <v>878</v>
      </c>
      <c r="C248" s="155">
        <v>0.28216400000000003</v>
      </c>
      <c r="D248" s="155">
        <v>2.1999999999999999E-5</v>
      </c>
      <c r="E248" s="155">
        <v>1.467174</v>
      </c>
      <c r="F248" s="155">
        <v>5.3000000000000001E-5</v>
      </c>
      <c r="G248" s="155">
        <v>4.17E-4</v>
      </c>
      <c r="H248" s="155">
        <v>1.5E-5</v>
      </c>
      <c r="I248" s="94">
        <v>1.201E-2</v>
      </c>
      <c r="J248" s="94">
        <v>2.4000000000000001E-4</v>
      </c>
    </row>
    <row r="249" spans="1:16">
      <c r="A249" s="3" t="s">
        <v>879</v>
      </c>
      <c r="C249" s="155">
        <v>0.282196</v>
      </c>
      <c r="D249" s="155">
        <v>3.1000000000000001E-5</v>
      </c>
      <c r="E249" s="155">
        <v>1.4671829999999999</v>
      </c>
      <c r="F249" s="155">
        <v>5.3999999999999998E-5</v>
      </c>
      <c r="G249" s="155">
        <v>7.316E-4</v>
      </c>
      <c r="H249" s="155">
        <v>9.3999999999999998E-6</v>
      </c>
      <c r="I249" s="94">
        <v>2.0920000000000001E-2</v>
      </c>
      <c r="J249" s="94">
        <v>2.9999999999999997E-4</v>
      </c>
    </row>
    <row r="250" spans="1:16">
      <c r="A250" s="34" t="s">
        <v>833</v>
      </c>
      <c r="B250" s="174"/>
      <c r="C250" s="157">
        <f t="shared" ref="C250:J250" si="23">AVERAGE(C237:C249)</f>
        <v>0.28218353846153843</v>
      </c>
      <c r="D250" s="157">
        <f t="shared" si="23"/>
        <v>2.3230769230769234E-5</v>
      </c>
      <c r="E250" s="157">
        <f t="shared" si="23"/>
        <v>1.4671706923076921</v>
      </c>
      <c r="F250" s="157">
        <f t="shared" si="23"/>
        <v>4.3153846153846153E-5</v>
      </c>
      <c r="G250" s="157">
        <f t="shared" si="23"/>
        <v>1.2462615384615386E-3</v>
      </c>
      <c r="H250" s="157">
        <f t="shared" si="23"/>
        <v>1.4053846153846155E-5</v>
      </c>
      <c r="I250" s="158">
        <f t="shared" si="23"/>
        <v>3.7223846153846149E-2</v>
      </c>
      <c r="J250" s="158">
        <f t="shared" si="23"/>
        <v>7.0615384615384615E-4</v>
      </c>
      <c r="K250" s="159"/>
      <c r="L250" s="159"/>
      <c r="M250" s="159"/>
      <c r="N250" s="157"/>
      <c r="O250" s="160"/>
      <c r="P250" s="160"/>
    </row>
    <row r="251" spans="1:16">
      <c r="A251" s="34" t="s">
        <v>834</v>
      </c>
      <c r="B251" s="157"/>
      <c r="C251" s="157">
        <f t="shared" ref="C251:J251" si="24">2*(STDEV(C237:C249))</f>
        <v>3.125822968557044E-5</v>
      </c>
      <c r="D251" s="157">
        <f t="shared" si="24"/>
        <v>6.7898868990995797E-6</v>
      </c>
      <c r="E251" s="157">
        <f t="shared" si="24"/>
        <v>3.7196636186474988E-5</v>
      </c>
      <c r="F251" s="157">
        <f t="shared" si="24"/>
        <v>1.227045649371296E-5</v>
      </c>
      <c r="G251" s="157">
        <f t="shared" si="24"/>
        <v>1.1582333344033391E-3</v>
      </c>
      <c r="H251" s="157">
        <f t="shared" si="24"/>
        <v>2.6165449914548936E-5</v>
      </c>
      <c r="I251" s="158">
        <f t="shared" si="24"/>
        <v>3.4598059231178056E-2</v>
      </c>
      <c r="J251" s="158">
        <f t="shared" si="24"/>
        <v>1.207601989110056E-3</v>
      </c>
      <c r="K251" s="159"/>
      <c r="L251" s="159"/>
      <c r="M251" s="159"/>
      <c r="N251" s="157"/>
      <c r="O251" s="160"/>
      <c r="P251" s="160"/>
    </row>
    <row r="252" spans="1:16">
      <c r="C252" s="155"/>
      <c r="D252" s="155"/>
      <c r="E252" s="155"/>
      <c r="F252" s="155"/>
      <c r="G252" s="155"/>
      <c r="H252" s="155"/>
      <c r="I252" s="94"/>
      <c r="J252" s="94"/>
    </row>
    <row r="253" spans="1:16">
      <c r="A253" s="3" t="s">
        <v>880</v>
      </c>
      <c r="C253" s="155">
        <v>0.28212999999999999</v>
      </c>
      <c r="D253" s="155">
        <v>1.8E-5</v>
      </c>
      <c r="E253" s="155">
        <v>1.467176</v>
      </c>
      <c r="F253" s="155">
        <v>2.8E-5</v>
      </c>
      <c r="G253" s="155">
        <v>6.5600000000000001E-4</v>
      </c>
      <c r="H253" s="155">
        <v>1.9E-6</v>
      </c>
      <c r="I253" s="94">
        <v>1.788E-2</v>
      </c>
      <c r="J253" s="94">
        <v>2.3000000000000001E-4</v>
      </c>
    </row>
    <row r="254" spans="1:16">
      <c r="A254" s="3" t="s">
        <v>881</v>
      </c>
      <c r="C254" s="155">
        <v>0.28212599999999999</v>
      </c>
      <c r="D254" s="155">
        <v>1.8E-5</v>
      </c>
      <c r="E254" s="155">
        <v>1.467157</v>
      </c>
      <c r="F254" s="155">
        <v>2.6999999999999999E-5</v>
      </c>
      <c r="G254" s="155">
        <v>6.5379999999999995E-4</v>
      </c>
      <c r="H254" s="155">
        <v>1.7999999999999999E-6</v>
      </c>
      <c r="I254" s="94">
        <v>1.7510000000000001E-2</v>
      </c>
      <c r="J254" s="94">
        <v>2.0000000000000001E-4</v>
      </c>
    </row>
    <row r="255" spans="1:16">
      <c r="A255" s="3" t="s">
        <v>882</v>
      </c>
      <c r="C255" s="155">
        <v>0.28213199999999999</v>
      </c>
      <c r="D255" s="155">
        <v>2.0999999999999999E-5</v>
      </c>
      <c r="E255" s="155">
        <v>1.4671689999999999</v>
      </c>
      <c r="F255" s="155">
        <v>2.9E-5</v>
      </c>
      <c r="G255" s="155">
        <v>6.5589999999999995E-4</v>
      </c>
      <c r="H255" s="155">
        <v>1.9E-6</v>
      </c>
      <c r="I255" s="94">
        <v>1.7430000000000001E-2</v>
      </c>
      <c r="J255" s="94">
        <v>2.0000000000000001E-4</v>
      </c>
    </row>
    <row r="256" spans="1:16">
      <c r="A256" s="3" t="s">
        <v>883</v>
      </c>
      <c r="C256" s="155">
        <v>0.28212199999999998</v>
      </c>
      <c r="D256" s="155">
        <v>1.7E-5</v>
      </c>
      <c r="E256" s="155">
        <v>1.4671460000000001</v>
      </c>
      <c r="F256" s="155">
        <v>3.4999999999999997E-5</v>
      </c>
      <c r="G256" s="155">
        <v>6.5850000000000001E-4</v>
      </c>
      <c r="H256" s="155">
        <v>2.0999999999999998E-6</v>
      </c>
      <c r="I256" s="94">
        <v>1.753E-2</v>
      </c>
      <c r="J256" s="94">
        <v>2.1000000000000001E-4</v>
      </c>
    </row>
    <row r="257" spans="1:16">
      <c r="A257" s="3" t="s">
        <v>884</v>
      </c>
      <c r="C257" s="155">
        <v>0.28212599999999999</v>
      </c>
      <c r="D257" s="155">
        <v>1.9000000000000001E-5</v>
      </c>
      <c r="E257" s="155">
        <v>1.46716</v>
      </c>
      <c r="F257" s="155">
        <v>2.5000000000000001E-5</v>
      </c>
      <c r="G257" s="155">
        <v>6.6160000000000004E-4</v>
      </c>
      <c r="H257" s="155">
        <v>2.5000000000000002E-6</v>
      </c>
      <c r="I257" s="94">
        <v>1.7600000000000001E-2</v>
      </c>
      <c r="J257" s="94">
        <v>2.3000000000000001E-4</v>
      </c>
    </row>
    <row r="258" spans="1:16">
      <c r="C258" s="155"/>
      <c r="D258" s="155"/>
      <c r="E258" s="155"/>
      <c r="F258" s="155"/>
      <c r="G258" s="155"/>
      <c r="H258" s="155"/>
      <c r="I258" s="94"/>
      <c r="J258" s="94"/>
    </row>
    <row r="259" spans="1:16">
      <c r="A259" s="3" t="s">
        <v>885</v>
      </c>
      <c r="C259" s="155">
        <v>0.28212999999999999</v>
      </c>
      <c r="D259" s="155">
        <v>2.0000000000000002E-5</v>
      </c>
      <c r="E259" s="155">
        <v>1.4671890000000001</v>
      </c>
      <c r="F259" s="155">
        <v>2.9E-5</v>
      </c>
      <c r="G259" s="155">
        <v>2.9399000000000001E-3</v>
      </c>
      <c r="H259" s="155">
        <v>6.9999999999999999E-6</v>
      </c>
      <c r="I259" s="94">
        <v>8.3979999999999999E-2</v>
      </c>
      <c r="J259" s="94">
        <v>6.4999999999999997E-4</v>
      </c>
    </row>
    <row r="260" spans="1:16">
      <c r="A260" s="3" t="s">
        <v>886</v>
      </c>
      <c r="C260" s="155">
        <v>0.282136</v>
      </c>
      <c r="D260" s="155">
        <v>2.3E-5</v>
      </c>
      <c r="E260" s="155">
        <v>1.4671909999999999</v>
      </c>
      <c r="F260" s="155">
        <v>4.3000000000000002E-5</v>
      </c>
      <c r="G260" s="155">
        <v>2.9312000000000001E-3</v>
      </c>
      <c r="H260" s="155">
        <v>5.5999999999999997E-6</v>
      </c>
      <c r="I260" s="94">
        <v>8.3540000000000003E-2</v>
      </c>
      <c r="J260" s="94">
        <v>5.4000000000000001E-4</v>
      </c>
    </row>
    <row r="261" spans="1:16">
      <c r="A261" s="3" t="s">
        <v>887</v>
      </c>
      <c r="C261" s="155">
        <v>0.282115</v>
      </c>
      <c r="D261" s="155">
        <v>2.3E-5</v>
      </c>
      <c r="E261" s="155">
        <v>1.4671639999999999</v>
      </c>
      <c r="F261" s="155">
        <v>3.1000000000000001E-5</v>
      </c>
      <c r="G261" s="155">
        <v>3.4520000000000002E-3</v>
      </c>
      <c r="H261" s="155">
        <v>1.2E-5</v>
      </c>
      <c r="I261" s="94">
        <v>9.8919999999999994E-2</v>
      </c>
      <c r="J261" s="94">
        <v>4.8000000000000001E-4</v>
      </c>
    </row>
    <row r="262" spans="1:16">
      <c r="A262" s="3" t="s">
        <v>888</v>
      </c>
      <c r="C262" s="155">
        <v>0.28211999999999998</v>
      </c>
      <c r="D262" s="155">
        <v>2.0999999999999999E-5</v>
      </c>
      <c r="E262" s="155">
        <v>1.4671430000000001</v>
      </c>
      <c r="F262" s="155">
        <v>2.9E-5</v>
      </c>
      <c r="G262" s="155">
        <v>3.771E-3</v>
      </c>
      <c r="H262" s="155">
        <v>1.2999999999999999E-5</v>
      </c>
      <c r="I262" s="94">
        <v>0.10811</v>
      </c>
      <c r="J262" s="94">
        <v>6.3000000000000003E-4</v>
      </c>
    </row>
    <row r="263" spans="1:16">
      <c r="A263" s="3" t="s">
        <v>889</v>
      </c>
      <c r="C263" s="155">
        <v>0.28213500000000002</v>
      </c>
      <c r="D263" s="155">
        <v>2.1999999999999999E-5</v>
      </c>
      <c r="E263" s="155">
        <v>1.4671700000000001</v>
      </c>
      <c r="F263" s="155">
        <v>2.9E-5</v>
      </c>
      <c r="G263" s="155">
        <v>3.8078000000000001E-3</v>
      </c>
      <c r="H263" s="155">
        <v>2.6000000000000001E-6</v>
      </c>
      <c r="I263" s="94">
        <v>0.1096</v>
      </c>
      <c r="J263" s="94">
        <v>1.1000000000000001E-3</v>
      </c>
    </row>
    <row r="264" spans="1:16">
      <c r="A264" s="34" t="s">
        <v>833</v>
      </c>
      <c r="C264" s="157">
        <f t="shared" ref="C264:J264" si="25">AVERAGE(C259:C263)</f>
        <v>0.28212720000000002</v>
      </c>
      <c r="D264" s="157">
        <f t="shared" si="25"/>
        <v>2.1799999999999998E-5</v>
      </c>
      <c r="E264" s="157">
        <f t="shared" si="25"/>
        <v>1.4671714</v>
      </c>
      <c r="F264" s="157">
        <f t="shared" si="25"/>
        <v>3.2200000000000003E-5</v>
      </c>
      <c r="G264" s="157">
        <f t="shared" si="25"/>
        <v>3.3803800000000001E-3</v>
      </c>
      <c r="H264" s="157">
        <f t="shared" si="25"/>
        <v>8.0400000000000009E-6</v>
      </c>
      <c r="I264" s="158">
        <f t="shared" si="25"/>
        <v>9.6829999999999999E-2</v>
      </c>
      <c r="J264" s="158">
        <f t="shared" si="25"/>
        <v>6.8000000000000005E-4</v>
      </c>
      <c r="K264" s="159"/>
      <c r="L264" s="159"/>
      <c r="M264" s="159"/>
      <c r="N264" s="157"/>
      <c r="O264" s="160"/>
      <c r="P264" s="160"/>
    </row>
    <row r="265" spans="1:16">
      <c r="A265" s="34" t="s">
        <v>834</v>
      </c>
      <c r="C265" s="157">
        <f t="shared" ref="C265:J265" si="26">2*(STDEV(C259:C263))</f>
        <v>1.8622566955187715E-5</v>
      </c>
      <c r="D265" s="157">
        <f t="shared" si="26"/>
        <v>2.6076809620810587E-6</v>
      </c>
      <c r="E265" s="157">
        <f t="shared" si="26"/>
        <v>3.9461373518865381E-5</v>
      </c>
      <c r="F265" s="157">
        <f t="shared" si="26"/>
        <v>1.2198360545581525E-5</v>
      </c>
      <c r="G265" s="157">
        <f t="shared" si="26"/>
        <v>8.5801315141435905E-4</v>
      </c>
      <c r="H265" s="157">
        <f t="shared" si="26"/>
        <v>8.7699486885614093E-6</v>
      </c>
      <c r="I265" s="158">
        <f t="shared" si="26"/>
        <v>2.5227485011391888E-2</v>
      </c>
      <c r="J265" s="158">
        <f t="shared" si="26"/>
        <v>4.8928519290900279E-4</v>
      </c>
      <c r="K265" s="159"/>
      <c r="L265" s="159"/>
      <c r="M265" s="159"/>
      <c r="N265" s="157"/>
      <c r="O265" s="160"/>
      <c r="P265" s="160"/>
    </row>
    <row r="267" spans="1:16">
      <c r="A267" s="2" t="s">
        <v>1353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0EF8D-BADF-4548-9D2D-BDB245C36B45}">
  <dimension ref="A1:I200"/>
  <sheetViews>
    <sheetView workbookViewId="0">
      <selection activeCell="A198" sqref="A198"/>
    </sheetView>
  </sheetViews>
  <sheetFormatPr baseColWidth="10" defaultRowHeight="13"/>
  <cols>
    <col min="1" max="1" width="14.1640625" style="2" customWidth="1"/>
    <col min="2" max="2" width="11" style="2" customWidth="1"/>
    <col min="3" max="3" width="12.5" style="2" customWidth="1"/>
    <col min="4" max="4" width="17.33203125" style="2" bestFit="1" customWidth="1"/>
    <col min="5" max="5" width="12.5" style="88" customWidth="1"/>
    <col min="6" max="6" width="8" style="88" customWidth="1"/>
    <col min="7" max="7" width="11.6640625" style="2" customWidth="1"/>
    <col min="8" max="16384" width="10.83203125" style="2"/>
  </cols>
  <sheetData>
    <row r="1" spans="1:9" s="175" customFormat="1" ht="16">
      <c r="A1" s="44" t="s">
        <v>1349</v>
      </c>
      <c r="E1" s="176"/>
      <c r="F1" s="176"/>
    </row>
    <row r="2" spans="1:9" s="175" customFormat="1" ht="9" customHeight="1">
      <c r="A2" s="177"/>
      <c r="E2" s="176"/>
      <c r="F2" s="176"/>
    </row>
    <row r="3" spans="1:9" ht="13" customHeight="1">
      <c r="A3" s="178" t="s">
        <v>890</v>
      </c>
      <c r="B3" s="178" t="s">
        <v>220</v>
      </c>
      <c r="C3" s="179" t="s">
        <v>891</v>
      </c>
      <c r="D3" s="178" t="s">
        <v>892</v>
      </c>
      <c r="E3" s="178" t="s">
        <v>893</v>
      </c>
      <c r="F3" s="178" t="s">
        <v>894</v>
      </c>
      <c r="G3" s="178" t="s">
        <v>895</v>
      </c>
      <c r="H3" s="180" t="s">
        <v>896</v>
      </c>
      <c r="I3" s="29"/>
    </row>
    <row r="4" spans="1:9" ht="13" customHeight="1">
      <c r="A4" s="88" t="s">
        <v>897</v>
      </c>
      <c r="B4" s="2" t="s">
        <v>898</v>
      </c>
      <c r="C4" s="181">
        <v>2.0159040813989199E-3</v>
      </c>
      <c r="D4" s="182">
        <v>1.4338403097559365E-2</v>
      </c>
      <c r="E4" s="183">
        <v>5.3381614796130794</v>
      </c>
      <c r="F4" s="183">
        <v>0.28676806195118731</v>
      </c>
      <c r="G4" s="183">
        <v>-1.0013533035198363</v>
      </c>
      <c r="H4" s="184">
        <v>0.7372618520159504</v>
      </c>
      <c r="I4" s="32"/>
    </row>
    <row r="5" spans="1:9" ht="13" customHeight="1">
      <c r="A5" s="88" t="s">
        <v>899</v>
      </c>
      <c r="B5" s="2" t="s">
        <v>898</v>
      </c>
      <c r="C5" s="181">
        <v>2.0160922650976636E-3</v>
      </c>
      <c r="D5" s="182">
        <v>9.9418593430404649E-3</v>
      </c>
      <c r="E5" s="183">
        <v>5.432009324587872</v>
      </c>
      <c r="F5" s="183">
        <v>0.19883718686080931</v>
      </c>
      <c r="G5" s="183">
        <v>9.8481834926564815</v>
      </c>
      <c r="H5" s="184">
        <v>1.0504492052522461</v>
      </c>
      <c r="I5" s="32"/>
    </row>
    <row r="6" spans="1:9" ht="13" customHeight="1">
      <c r="A6" s="88" t="s">
        <v>900</v>
      </c>
      <c r="B6" s="2" t="s">
        <v>898</v>
      </c>
      <c r="C6" s="181">
        <v>2.0158840415088961E-3</v>
      </c>
      <c r="D6" s="182">
        <v>1.4659217886916751E-2</v>
      </c>
      <c r="E6" s="183">
        <v>5.3281675188989741</v>
      </c>
      <c r="F6" s="183">
        <v>0.29318435773833501</v>
      </c>
      <c r="G6" s="185">
        <v>13.976270829453696</v>
      </c>
      <c r="H6" s="184">
        <v>1.3167701863354038</v>
      </c>
      <c r="I6" s="32"/>
    </row>
    <row r="7" spans="1:9" ht="13" customHeight="1">
      <c r="A7" s="88" t="s">
        <v>901</v>
      </c>
      <c r="B7" s="2" t="s">
        <v>898</v>
      </c>
      <c r="C7" s="181">
        <v>2.0158912169755436E-3</v>
      </c>
      <c r="D7" s="182">
        <v>1.3205537093340807E-2</v>
      </c>
      <c r="E7" s="183">
        <v>5.3317459483062102</v>
      </c>
      <c r="F7" s="183">
        <v>0.26411074186681616</v>
      </c>
      <c r="G7" s="185">
        <v>12.468243332693696</v>
      </c>
      <c r="H7" s="184">
        <v>1.0622837370242215</v>
      </c>
      <c r="I7" s="32"/>
    </row>
    <row r="8" spans="1:9" ht="13" customHeight="1">
      <c r="A8" s="88" t="s">
        <v>902</v>
      </c>
      <c r="B8" s="2" t="s">
        <v>898</v>
      </c>
      <c r="C8" s="181">
        <v>2.0161850396565747E-3</v>
      </c>
      <c r="D8" s="182">
        <v>1.3592731181337322E-2</v>
      </c>
      <c r="E8" s="183">
        <v>5.4782763098817355</v>
      </c>
      <c r="F8" s="183">
        <v>0.27185462362674645</v>
      </c>
      <c r="G8" s="185">
        <v>22.278946126493349</v>
      </c>
      <c r="H8" s="184">
        <v>1.1546762589928057</v>
      </c>
      <c r="I8" s="32"/>
    </row>
    <row r="9" spans="1:9" ht="13" customHeight="1">
      <c r="A9" s="88" t="s">
        <v>903</v>
      </c>
      <c r="B9" s="2" t="s">
        <v>898</v>
      </c>
      <c r="C9" s="181">
        <v>2.0160682220928326E-3</v>
      </c>
      <c r="D9" s="182">
        <v>1.1223340980068323E-2</v>
      </c>
      <c r="E9" s="183">
        <v>5.4200189970241563</v>
      </c>
      <c r="F9" s="183">
        <v>0.22446681960136647</v>
      </c>
      <c r="G9" s="185">
        <v>13.153584444046018</v>
      </c>
      <c r="H9" s="184">
        <v>1.2375886524822695</v>
      </c>
      <c r="I9" s="32"/>
    </row>
    <row r="10" spans="1:9" ht="13" customHeight="1">
      <c r="A10" s="88" t="s">
        <v>904</v>
      </c>
      <c r="B10" s="2" t="s">
        <v>898</v>
      </c>
      <c r="C10" s="181">
        <v>2.0158052507601846E-3</v>
      </c>
      <c r="D10" s="182">
        <v>1.2615880284773789E-2</v>
      </c>
      <c r="E10" s="183">
        <v>5.2888743068943977</v>
      </c>
      <c r="F10" s="183">
        <v>0.25231760569547579</v>
      </c>
      <c r="G10" s="183">
        <v>8.5264260965150829</v>
      </c>
      <c r="H10" s="184">
        <v>1.0942408376963351</v>
      </c>
      <c r="I10" s="32"/>
    </row>
    <row r="11" spans="1:9" ht="13" customHeight="1">
      <c r="A11" s="88" t="s">
        <v>905</v>
      </c>
      <c r="B11" s="2" t="s">
        <v>898</v>
      </c>
      <c r="C11" s="181">
        <v>2.0158566773577965E-3</v>
      </c>
      <c r="D11" s="182">
        <v>1.2557190856792811E-2</v>
      </c>
      <c r="E11" s="183">
        <v>5.3145209244946923</v>
      </c>
      <c r="F11" s="183">
        <v>0.25114381713585621</v>
      </c>
      <c r="G11" s="185">
        <v>39.122498289283939</v>
      </c>
      <c r="H11" s="184">
        <v>0.85493230174081236</v>
      </c>
      <c r="I11" s="32"/>
    </row>
    <row r="12" spans="1:9" ht="13" customHeight="1">
      <c r="A12" s="88" t="s">
        <v>906</v>
      </c>
      <c r="B12" s="2" t="s">
        <v>898</v>
      </c>
      <c r="C12" s="181">
        <v>2.0160645437715947E-3</v>
      </c>
      <c r="D12" s="182">
        <v>1.1132878720285065E-2</v>
      </c>
      <c r="E12" s="183">
        <v>5.4181846058223293</v>
      </c>
      <c r="F12" s="183">
        <v>0.2226575744057013</v>
      </c>
      <c r="G12" s="183">
        <v>-3.2569641137656591</v>
      </c>
      <c r="H12" s="184">
        <v>0.54133858267716539</v>
      </c>
      <c r="I12" s="32"/>
    </row>
    <row r="13" spans="1:9" ht="13" customHeight="1">
      <c r="A13" s="88" t="s">
        <v>277</v>
      </c>
      <c r="B13" s="2" t="s">
        <v>898</v>
      </c>
      <c r="C13" s="181">
        <v>2.0156758202314199E-3</v>
      </c>
      <c r="D13" s="182">
        <v>1.0700561913484917E-2</v>
      </c>
      <c r="E13" s="183">
        <v>5.2243268658587194</v>
      </c>
      <c r="F13" s="183">
        <v>0.21401123826969834</v>
      </c>
      <c r="G13" s="185">
        <v>18.224592344272097</v>
      </c>
      <c r="H13" s="184">
        <v>1.2192513368983957</v>
      </c>
      <c r="I13" s="32"/>
    </row>
    <row r="14" spans="1:9" ht="13" customHeight="1">
      <c r="A14" s="88" t="s">
        <v>278</v>
      </c>
      <c r="B14" s="2" t="s">
        <v>898</v>
      </c>
      <c r="C14" s="181">
        <v>2.0163439398566056E-3</v>
      </c>
      <c r="D14" s="182">
        <v>1.1499640733445938E-2</v>
      </c>
      <c r="E14" s="183">
        <v>5.5575203753270852</v>
      </c>
      <c r="F14" s="183">
        <v>0.22999281466891874</v>
      </c>
      <c r="G14" s="185">
        <v>17.369320890979644</v>
      </c>
      <c r="H14" s="184">
        <v>1.2883895131086143</v>
      </c>
      <c r="I14" s="32"/>
    </row>
    <row r="15" spans="1:9" ht="13" customHeight="1">
      <c r="A15" s="88" t="s">
        <v>279</v>
      </c>
      <c r="B15" s="2" t="s">
        <v>898</v>
      </c>
      <c r="C15" s="181">
        <v>2.0164025424187601E-3</v>
      </c>
      <c r="D15" s="182">
        <v>1.2572622003569541E-2</v>
      </c>
      <c r="E15" s="183">
        <v>5.5867456706364393</v>
      </c>
      <c r="F15" s="183">
        <v>0.25145244007139084</v>
      </c>
      <c r="G15" s="183">
        <v>9.2066354532150072</v>
      </c>
      <c r="H15" s="184">
        <v>1.1496062992125984</v>
      </c>
      <c r="I15" s="32"/>
    </row>
    <row r="16" spans="1:9" ht="13" customHeight="1">
      <c r="A16" s="88" t="s">
        <v>280</v>
      </c>
      <c r="B16" s="2" t="s">
        <v>898</v>
      </c>
      <c r="C16" s="181">
        <v>2.0161938187004762E-3</v>
      </c>
      <c r="D16" s="182">
        <v>1.3401375762749137E-2</v>
      </c>
      <c r="E16" s="183">
        <v>5.4826544486716866</v>
      </c>
      <c r="F16" s="183">
        <v>0.26802751525498275</v>
      </c>
      <c r="G16" s="185">
        <v>-13.238588968962794</v>
      </c>
      <c r="H16" s="184">
        <v>0.79259259259259263</v>
      </c>
      <c r="I16" s="32"/>
    </row>
    <row r="17" spans="1:9" s="29" customFormat="1" ht="13" customHeight="1">
      <c r="A17" s="29" t="s">
        <v>281</v>
      </c>
      <c r="C17" s="186">
        <f>AVERAGE(C4:C16)</f>
        <v>2.0160282661405588E-3</v>
      </c>
      <c r="D17" s="187">
        <f t="shared" ref="D17:G17" si="0">AVERAGE(D4:D16)</f>
        <v>1.2418556912104941E-2</v>
      </c>
      <c r="E17" s="188">
        <f t="shared" si="0"/>
        <v>5.4000928289244134</v>
      </c>
      <c r="F17" s="186"/>
      <c r="G17" s="189">
        <f t="shared" si="0"/>
        <v>11.282907301027747</v>
      </c>
      <c r="H17" s="188"/>
    </row>
    <row r="18" spans="1:9" s="29" customFormat="1" ht="13" customHeight="1">
      <c r="A18" s="29" t="s">
        <v>204</v>
      </c>
      <c r="C18" s="186">
        <f>_xlfn.STDEV.S(C4:C16)</f>
        <v>2.1547010256259289E-7</v>
      </c>
      <c r="D18" s="187">
        <f t="shared" ref="D18:G18" si="1">_xlfn.STDEV.S(D4:D16)</f>
        <v>1.4365373000742271E-3</v>
      </c>
      <c r="E18" s="188">
        <f t="shared" si="1"/>
        <v>0.10745566654828488</v>
      </c>
      <c r="F18" s="190"/>
      <c r="G18" s="189">
        <f t="shared" si="1"/>
        <v>12.815771546390319</v>
      </c>
      <c r="H18" s="188"/>
    </row>
    <row r="19" spans="1:9" s="29" customFormat="1" ht="13" customHeight="1">
      <c r="C19" s="186"/>
      <c r="D19" s="186"/>
      <c r="E19" s="188"/>
      <c r="F19" s="186"/>
      <c r="G19" s="189"/>
      <c r="H19" s="188"/>
    </row>
    <row r="20" spans="1:9" ht="13" customHeight="1">
      <c r="A20" s="191" t="s">
        <v>907</v>
      </c>
      <c r="B20" s="191" t="s">
        <v>898</v>
      </c>
      <c r="C20" s="192">
        <v>2.0141471927412695E-3</v>
      </c>
      <c r="D20" s="193">
        <v>1.1845749557838205E-2</v>
      </c>
      <c r="E20" s="194">
        <v>4.4619951831585958</v>
      </c>
      <c r="F20" s="194">
        <v>0.23691499115676412</v>
      </c>
      <c r="G20" s="195">
        <v>83.299035056968009</v>
      </c>
      <c r="H20" s="184"/>
    </row>
    <row r="21" spans="1:9" ht="13" customHeight="1">
      <c r="A21" s="88" t="s">
        <v>908</v>
      </c>
      <c r="B21" s="2" t="s">
        <v>898</v>
      </c>
      <c r="C21" s="181">
        <v>2.0158516307301803E-3</v>
      </c>
      <c r="D21" s="182">
        <v>1.3283958844414566E-2</v>
      </c>
      <c r="E21" s="183">
        <v>5.3120041542888963</v>
      </c>
      <c r="F21" s="183">
        <v>0.26567917688829135</v>
      </c>
      <c r="G21" s="183">
        <v>-0.92817070419795034</v>
      </c>
      <c r="H21" s="184">
        <v>0.68310502283105023</v>
      </c>
      <c r="I21" s="32"/>
    </row>
    <row r="22" spans="1:9" ht="13" customHeight="1">
      <c r="A22" s="88" t="s">
        <v>909</v>
      </c>
      <c r="B22" s="2" t="s">
        <v>898</v>
      </c>
      <c r="C22" s="181">
        <v>2.0157846478221228E-3</v>
      </c>
      <c r="D22" s="182">
        <v>1.2827584127946929E-2</v>
      </c>
      <c r="E22" s="183">
        <v>5.27859955222576</v>
      </c>
      <c r="F22" s="183">
        <v>0.25655168255893857</v>
      </c>
      <c r="G22" s="185">
        <v>12.06184299569799</v>
      </c>
      <c r="H22" s="184">
        <v>0.55908720456397709</v>
      </c>
      <c r="I22" s="32"/>
    </row>
    <row r="23" spans="1:9" ht="13" customHeight="1">
      <c r="A23" s="88" t="s">
        <v>910</v>
      </c>
      <c r="B23" s="2" t="s">
        <v>898</v>
      </c>
      <c r="C23" s="181">
        <v>2.0153928799995688E-3</v>
      </c>
      <c r="D23" s="182">
        <v>1.2526534795647838E-2</v>
      </c>
      <c r="E23" s="183">
        <v>5.0832236183766533</v>
      </c>
      <c r="F23" s="183">
        <v>0.25053069591295674</v>
      </c>
      <c r="G23" s="185">
        <v>14.863198597488303</v>
      </c>
      <c r="H23" s="184">
        <v>0.78343949044585992</v>
      </c>
      <c r="I23" s="32"/>
    </row>
    <row r="24" spans="1:9" ht="13" customHeight="1">
      <c r="A24" s="88" t="s">
        <v>911</v>
      </c>
      <c r="B24" s="2" t="s">
        <v>898</v>
      </c>
      <c r="C24" s="181">
        <v>2.0149942615637021E-3</v>
      </c>
      <c r="D24" s="182">
        <v>1.4289612294394136E-2</v>
      </c>
      <c r="E24" s="183">
        <v>4.8844312605735851</v>
      </c>
      <c r="F24" s="183">
        <v>0.28579224588788271</v>
      </c>
      <c r="G24" s="183">
        <v>2.4760401366180185</v>
      </c>
      <c r="H24" s="184">
        <v>0.50555555555555554</v>
      </c>
      <c r="I24" s="32"/>
    </row>
    <row r="25" spans="1:9" ht="13" customHeight="1">
      <c r="A25" s="88" t="s">
        <v>912</v>
      </c>
      <c r="B25" s="2" t="s">
        <v>898</v>
      </c>
      <c r="C25" s="181">
        <v>2.0153316536488859E-3</v>
      </c>
      <c r="D25" s="182">
        <v>1.3728698095307508E-2</v>
      </c>
      <c r="E25" s="183">
        <v>5.0526898308826951</v>
      </c>
      <c r="F25" s="183">
        <v>0.27457396190615013</v>
      </c>
      <c r="G25" s="183">
        <v>-3.5068144507062748</v>
      </c>
      <c r="H25" s="184">
        <v>0.93668341708542713</v>
      </c>
      <c r="I25" s="32"/>
    </row>
    <row r="26" spans="1:9" ht="13" customHeight="1">
      <c r="A26" s="88" t="s">
        <v>913</v>
      </c>
      <c r="B26" s="2" t="s">
        <v>898</v>
      </c>
      <c r="C26" s="181">
        <v>2.0154475105819123E-3</v>
      </c>
      <c r="D26" s="182">
        <v>1.1306362218574107E-2</v>
      </c>
      <c r="E26" s="183">
        <v>5.1104680739639807</v>
      </c>
      <c r="F26" s="183">
        <v>0.22612724437148213</v>
      </c>
      <c r="G26" s="183">
        <v>-9.6935382236226673</v>
      </c>
      <c r="H26" s="184"/>
      <c r="I26" s="32"/>
    </row>
    <row r="27" spans="1:9" ht="13" customHeight="1">
      <c r="A27" s="88" t="s">
        <v>914</v>
      </c>
      <c r="B27" s="2" t="s">
        <v>898</v>
      </c>
      <c r="C27" s="181">
        <v>2.0159114974095541E-3</v>
      </c>
      <c r="D27" s="182">
        <v>1.383852512867249E-2</v>
      </c>
      <c r="E27" s="183">
        <v>5.3418598691172825</v>
      </c>
      <c r="F27" s="183">
        <v>0.27677050257344982</v>
      </c>
      <c r="G27" s="185">
        <v>13.993555082853447</v>
      </c>
      <c r="H27" s="184">
        <v>0.75187969924812026</v>
      </c>
      <c r="I27" s="32"/>
    </row>
    <row r="28" spans="1:9" ht="13" customHeight="1">
      <c r="A28" s="88" t="s">
        <v>915</v>
      </c>
      <c r="B28" s="2" t="s">
        <v>898</v>
      </c>
      <c r="C28" s="181">
        <v>2.0157817557896664E-3</v>
      </c>
      <c r="D28" s="182">
        <v>1.1995844818723232E-2</v>
      </c>
      <c r="E28" s="183">
        <v>5.2771572858898441</v>
      </c>
      <c r="F28" s="183">
        <v>0.23991689637446501</v>
      </c>
      <c r="G28" s="185">
        <v>10.506134257091148</v>
      </c>
      <c r="H28" s="184">
        <v>0.76260162601626014</v>
      </c>
      <c r="I28" s="32"/>
    </row>
    <row r="29" spans="1:9" ht="13" customHeight="1">
      <c r="A29" s="88" t="s">
        <v>319</v>
      </c>
      <c r="B29" s="2" t="s">
        <v>898</v>
      </c>
      <c r="C29" s="181">
        <v>2.0159378795148938E-3</v>
      </c>
      <c r="D29" s="182">
        <v>1.3553355036757505E-2</v>
      </c>
      <c r="E29" s="183">
        <v>5.3550167139906346</v>
      </c>
      <c r="F29" s="183">
        <v>0.27106710073515011</v>
      </c>
      <c r="G29" s="185">
        <v>-10.781485951506809</v>
      </c>
      <c r="H29" s="184">
        <v>0.55794504181600957</v>
      </c>
      <c r="I29" s="32"/>
    </row>
    <row r="30" spans="1:9" ht="13" customHeight="1">
      <c r="A30" s="88" t="s">
        <v>320</v>
      </c>
      <c r="B30" s="2" t="s">
        <v>898</v>
      </c>
      <c r="C30" s="181">
        <v>2.0152677555633327E-3</v>
      </c>
      <c r="D30" s="182">
        <v>1.1086928055127983E-2</v>
      </c>
      <c r="E30" s="183">
        <v>5.0208236402018436</v>
      </c>
      <c r="F30" s="183">
        <v>0.22173856110255966</v>
      </c>
      <c r="G30" s="185">
        <v>-11.2522221206016</v>
      </c>
      <c r="H30" s="184">
        <v>0.59099804305283754</v>
      </c>
      <c r="I30" s="32"/>
    </row>
    <row r="31" spans="1:9" ht="13" customHeight="1">
      <c r="A31" s="88" t="s">
        <v>321</v>
      </c>
      <c r="B31" s="2" t="s">
        <v>898</v>
      </c>
      <c r="C31" s="181">
        <v>2.0153735452045443E-3</v>
      </c>
      <c r="D31" s="182">
        <v>1.2393667880811393E-2</v>
      </c>
      <c r="E31" s="183">
        <v>5.0735812909157296</v>
      </c>
      <c r="F31" s="183">
        <v>0.24787335761622786</v>
      </c>
      <c r="G31" s="183">
        <v>8.4477969109670425</v>
      </c>
      <c r="H31" s="184">
        <v>0.72499999999999998</v>
      </c>
      <c r="I31" s="32"/>
    </row>
    <row r="32" spans="1:9" s="29" customFormat="1" ht="13" customHeight="1">
      <c r="A32" s="29" t="s">
        <v>281</v>
      </c>
      <c r="C32" s="186">
        <f>AVERAGE(C21:C31)</f>
        <v>2.0155522743480329E-3</v>
      </c>
      <c r="D32" s="187">
        <f t="shared" ref="D32:G32" si="2">AVERAGE(D21:D31)</f>
        <v>1.2802824663307061E-2</v>
      </c>
      <c r="E32" s="188">
        <f t="shared" si="2"/>
        <v>5.1627141173115367</v>
      </c>
      <c r="F32" s="186"/>
      <c r="G32" s="188">
        <f t="shared" si="2"/>
        <v>2.3805760481891496</v>
      </c>
      <c r="H32" s="188"/>
      <c r="I32" s="188">
        <f>AVERAGE(E4:E16,E21:E31)</f>
        <v>5.2912942527685116</v>
      </c>
    </row>
    <row r="33" spans="1:9" s="29" customFormat="1" ht="13" customHeight="1">
      <c r="A33" s="29" t="s">
        <v>204</v>
      </c>
      <c r="C33" s="186">
        <f>_xlfn.STDEV.S(C21:C31)</f>
        <v>3.1358169121425971E-7</v>
      </c>
      <c r="D33" s="187">
        <f t="shared" ref="D33:G33" si="3">_xlfn.STDEV.S(D21:D31)</f>
        <v>1.049500659858838E-3</v>
      </c>
      <c r="E33" s="188">
        <f t="shared" si="3"/>
        <v>0.15638424656604533</v>
      </c>
      <c r="F33" s="196"/>
      <c r="G33" s="188">
        <f t="shared" si="3"/>
        <v>10.186930477206683</v>
      </c>
      <c r="H33" s="188"/>
      <c r="I33" s="188">
        <f>_xlfn.STDEV.S(E4:E16,E21:E31)</f>
        <v>0.17679083992254996</v>
      </c>
    </row>
    <row r="34" spans="1:9" ht="13" customHeight="1">
      <c r="A34" s="88"/>
      <c r="C34" s="181"/>
      <c r="D34" s="182"/>
      <c r="E34" s="183"/>
      <c r="F34" s="183"/>
      <c r="G34" s="183"/>
      <c r="H34" s="184"/>
    </row>
    <row r="35" spans="1:9" ht="13" customHeight="1">
      <c r="A35" s="88" t="s">
        <v>916</v>
      </c>
      <c r="B35" s="2" t="s">
        <v>917</v>
      </c>
      <c r="C35" s="181">
        <v>2.0138735806915862E-3</v>
      </c>
      <c r="D35" s="182">
        <v>1.1373508243089508E-2</v>
      </c>
      <c r="E35" s="183">
        <v>4.3255439315710298</v>
      </c>
      <c r="F35" s="183">
        <v>0.22747016486179017</v>
      </c>
      <c r="G35" s="183">
        <v>6.7226868197345135</v>
      </c>
      <c r="H35" s="184">
        <v>0.50422535211267605</v>
      </c>
    </row>
    <row r="36" spans="1:9" ht="13" customHeight="1">
      <c r="A36" s="88" t="s">
        <v>918</v>
      </c>
      <c r="B36" s="2" t="s">
        <v>917</v>
      </c>
      <c r="C36" s="181">
        <v>2.0140964863608318E-3</v>
      </c>
      <c r="D36" s="182">
        <v>1.2698643477852272E-2</v>
      </c>
      <c r="E36" s="183">
        <v>4.4367077402911459</v>
      </c>
      <c r="F36" s="183">
        <v>0.25397286955704546</v>
      </c>
      <c r="G36" s="183">
        <v>-1.0818843251846788</v>
      </c>
      <c r="H36" s="184">
        <v>0.57175398633257413</v>
      </c>
    </row>
    <row r="37" spans="1:9" ht="13" customHeight="1">
      <c r="A37" s="88" t="s">
        <v>919</v>
      </c>
      <c r="B37" s="2" t="s">
        <v>917</v>
      </c>
      <c r="C37" s="181">
        <v>2.0139739560577478E-3</v>
      </c>
      <c r="D37" s="182">
        <v>1.1788930258780906E-2</v>
      </c>
      <c r="E37" s="183">
        <v>4.3756014650646602</v>
      </c>
      <c r="F37" s="183">
        <v>0.23577860517561811</v>
      </c>
      <c r="G37" s="185">
        <v>11.559387308861456</v>
      </c>
      <c r="H37" s="184">
        <v>0.54245283018867929</v>
      </c>
    </row>
    <row r="38" spans="1:9" ht="13" customHeight="1">
      <c r="A38" s="88" t="s">
        <v>920</v>
      </c>
      <c r="B38" s="2" t="s">
        <v>917</v>
      </c>
      <c r="C38" s="181">
        <v>2.0138970310742015E-3</v>
      </c>
      <c r="D38" s="182">
        <v>1.271495626317291E-2</v>
      </c>
      <c r="E38" s="183">
        <v>4.3372387164379855</v>
      </c>
      <c r="F38" s="183">
        <v>0.25429912526345821</v>
      </c>
      <c r="G38" s="185">
        <v>12.382264656013042</v>
      </c>
      <c r="H38" s="184">
        <v>0.53802281368821292</v>
      </c>
    </row>
    <row r="39" spans="1:9" ht="13" customHeight="1">
      <c r="A39" s="88" t="s">
        <v>921</v>
      </c>
      <c r="B39" s="2" t="s">
        <v>898</v>
      </c>
      <c r="C39" s="181">
        <v>2.0139983711702199E-3</v>
      </c>
      <c r="D39" s="182">
        <v>1.2023929297680066E-2</v>
      </c>
      <c r="E39" s="183">
        <v>4.3877773639635631</v>
      </c>
      <c r="F39" s="183">
        <v>0.2404785859536013</v>
      </c>
      <c r="G39" s="183">
        <v>-5.5893938280103477</v>
      </c>
      <c r="H39" s="184">
        <v>0.39473684210526316</v>
      </c>
    </row>
    <row r="40" spans="1:9" ht="13" customHeight="1">
      <c r="A40" s="88" t="s">
        <v>922</v>
      </c>
      <c r="B40" s="2" t="s">
        <v>898</v>
      </c>
      <c r="C40" s="181">
        <v>2.0141563797176684E-3</v>
      </c>
      <c r="D40" s="182">
        <v>1.2515031077736922E-2</v>
      </c>
      <c r="E40" s="183">
        <v>4.4665767592602101</v>
      </c>
      <c r="F40" s="183">
        <v>0.25030062155473842</v>
      </c>
      <c r="G40" s="183">
        <v>-3.6800505241709525</v>
      </c>
      <c r="H40" s="184">
        <v>0.36243822075782534</v>
      </c>
    </row>
    <row r="41" spans="1:9" ht="13" customHeight="1">
      <c r="A41" s="88" t="s">
        <v>923</v>
      </c>
      <c r="B41" s="2" t="s">
        <v>917</v>
      </c>
      <c r="C41" s="181">
        <v>2.0139271924693347E-3</v>
      </c>
      <c r="D41" s="182">
        <v>1.1081275325541911E-2</v>
      </c>
      <c r="E41" s="183">
        <v>4.3522803058722026</v>
      </c>
      <c r="F41" s="183">
        <v>0.22162550651083823</v>
      </c>
      <c r="G41" s="185">
        <v>16.535650086852229</v>
      </c>
      <c r="H41" s="184"/>
    </row>
    <row r="42" spans="1:9" ht="13" customHeight="1">
      <c r="A42" s="88" t="s">
        <v>924</v>
      </c>
      <c r="B42" s="2" t="s">
        <v>898</v>
      </c>
      <c r="C42" s="181">
        <v>2.0140503650429797E-3</v>
      </c>
      <c r="D42" s="182">
        <v>1.2518826101085716E-2</v>
      </c>
      <c r="E42" s="183">
        <v>4.4137068835925497</v>
      </c>
      <c r="F42" s="183">
        <v>0.25037652202171434</v>
      </c>
      <c r="G42" s="183">
        <v>4.1603890562655899</v>
      </c>
      <c r="H42" s="184">
        <v>0.54751131221719451</v>
      </c>
    </row>
    <row r="43" spans="1:9" ht="13" customHeight="1">
      <c r="A43" s="88" t="s">
        <v>925</v>
      </c>
      <c r="B43" s="2" t="s">
        <v>898</v>
      </c>
      <c r="C43" s="181">
        <v>2.0146882981617073E-3</v>
      </c>
      <c r="D43" s="182">
        <v>1.0994848239102529E-2</v>
      </c>
      <c r="E43" s="183">
        <v>4.7318462805243655</v>
      </c>
      <c r="F43" s="183">
        <v>0.21989696478205059</v>
      </c>
      <c r="G43" s="185">
        <v>-14.82552899968722</v>
      </c>
      <c r="H43" s="184">
        <v>0.42725173210161665</v>
      </c>
    </row>
    <row r="44" spans="1:9" ht="13" customHeight="1">
      <c r="A44" s="88" t="s">
        <v>434</v>
      </c>
      <c r="B44" s="2" t="s">
        <v>898</v>
      </c>
      <c r="C44" s="181">
        <v>2.014456453101074E-3</v>
      </c>
      <c r="D44" s="182">
        <v>1.2900479347274504E-2</v>
      </c>
      <c r="E44" s="183">
        <v>4.6162243671823422</v>
      </c>
      <c r="F44" s="183">
        <v>0.25800958694549009</v>
      </c>
      <c r="G44" s="183">
        <v>-6.1733119478739606</v>
      </c>
      <c r="H44" s="184">
        <v>0.48183556405353728</v>
      </c>
    </row>
    <row r="45" spans="1:9" ht="13" customHeight="1">
      <c r="A45" s="88" t="s">
        <v>435</v>
      </c>
      <c r="B45" s="2" t="s">
        <v>898</v>
      </c>
      <c r="C45" s="181">
        <v>2.0137774665423282E-3</v>
      </c>
      <c r="D45" s="182">
        <v>1.3006443811111476E-2</v>
      </c>
      <c r="E45" s="183">
        <v>4.2776114813127819</v>
      </c>
      <c r="F45" s="183">
        <v>0.26012887622222952</v>
      </c>
      <c r="G45" s="185">
        <v>-15.131356390443418</v>
      </c>
      <c r="H45" s="184"/>
    </row>
    <row r="46" spans="1:9" ht="13" customHeight="1">
      <c r="A46" s="88" t="s">
        <v>436</v>
      </c>
      <c r="B46" s="2" t="s">
        <v>898</v>
      </c>
      <c r="C46" s="181">
        <v>2.0138807599710219E-3</v>
      </c>
      <c r="D46" s="182">
        <v>1.0420729196159164E-2</v>
      </c>
      <c r="E46" s="183">
        <v>4.3291242624285964</v>
      </c>
      <c r="F46" s="183">
        <v>0.20841458392318327</v>
      </c>
      <c r="G46" s="183">
        <v>-5.0924321888208617</v>
      </c>
      <c r="H46" s="184">
        <v>0.48735955056179775</v>
      </c>
    </row>
    <row r="47" spans="1:9" ht="13" customHeight="1">
      <c r="A47" s="88" t="s">
        <v>437</v>
      </c>
      <c r="B47" s="2" t="s">
        <v>917</v>
      </c>
      <c r="C47" s="181">
        <v>2.0138817243266151E-3</v>
      </c>
      <c r="D47" s="182">
        <v>1.1744945052166059E-2</v>
      </c>
      <c r="E47" s="183">
        <v>4.3296051898140675</v>
      </c>
      <c r="F47" s="183">
        <v>0.23489890104332117</v>
      </c>
      <c r="G47" s="185">
        <v>11.333709002865856</v>
      </c>
      <c r="H47" s="184">
        <v>0.56556082148499209</v>
      </c>
    </row>
    <row r="48" spans="1:9" ht="13" customHeight="1">
      <c r="A48" s="88" t="s">
        <v>438</v>
      </c>
      <c r="B48" s="2" t="s">
        <v>917</v>
      </c>
      <c r="C48" s="181">
        <v>2.0133001029080046E-3</v>
      </c>
      <c r="D48" s="182">
        <v>1.6136984789262836E-2</v>
      </c>
      <c r="E48" s="183">
        <v>4.0395486275706105</v>
      </c>
      <c r="F48" s="183">
        <v>0.32273969578525674</v>
      </c>
      <c r="G48" s="183">
        <v>-4.7283355293487039</v>
      </c>
      <c r="H48" s="184">
        <v>0.44236760124610586</v>
      </c>
    </row>
    <row r="49" spans="1:8" ht="13" customHeight="1">
      <c r="A49" s="88" t="s">
        <v>439</v>
      </c>
      <c r="B49" s="2" t="s">
        <v>917</v>
      </c>
      <c r="C49" s="181">
        <v>2.0139922297287812E-3</v>
      </c>
      <c r="D49" s="182">
        <v>1.1465891631069997E-2</v>
      </c>
      <c r="E49" s="183">
        <v>4.3847146064139864</v>
      </c>
      <c r="F49" s="183">
        <v>0.22931783262139993</v>
      </c>
      <c r="G49" s="185">
        <v>11.281596854202892</v>
      </c>
      <c r="H49" s="184">
        <v>0.43265306122448982</v>
      </c>
    </row>
    <row r="50" spans="1:8" ht="13" customHeight="1">
      <c r="A50" s="88" t="s">
        <v>440</v>
      </c>
      <c r="B50" s="2" t="s">
        <v>898</v>
      </c>
      <c r="C50" s="181">
        <v>2.0145816152580295E-3</v>
      </c>
      <c r="D50" s="182">
        <v>1.0624389289265006E-2</v>
      </c>
      <c r="E50" s="183">
        <v>4.6786431568071052</v>
      </c>
      <c r="F50" s="183">
        <v>0.21248778578530012</v>
      </c>
      <c r="G50" s="183">
        <v>4.9208017563823869</v>
      </c>
      <c r="H50" s="184">
        <v>0.5679012345679012</v>
      </c>
    </row>
    <row r="51" spans="1:8" ht="13" customHeight="1">
      <c r="A51" s="88" t="s">
        <v>441</v>
      </c>
      <c r="B51" s="2" t="s">
        <v>898</v>
      </c>
      <c r="C51" s="181">
        <v>2.0140045848326209E-3</v>
      </c>
      <c r="D51" s="182">
        <v>1.2045037204253707E-2</v>
      </c>
      <c r="E51" s="183">
        <v>4.3908761383508743</v>
      </c>
      <c r="F51" s="183">
        <v>0.24090074408507414</v>
      </c>
      <c r="G51" s="183">
        <v>-9.3617214864520797</v>
      </c>
      <c r="H51" s="184">
        <v>0.41035856573705182</v>
      </c>
    </row>
    <row r="52" spans="1:8" ht="13" customHeight="1">
      <c r="A52" s="88" t="s">
        <v>442</v>
      </c>
      <c r="B52" s="2" t="s">
        <v>898</v>
      </c>
      <c r="C52" s="181">
        <v>2.0141123820626322E-3</v>
      </c>
      <c r="D52" s="182">
        <v>9.8582397195734698E-3</v>
      </c>
      <c r="E52" s="183">
        <v>4.4446349803670682</v>
      </c>
      <c r="F52" s="183">
        <v>0.19716479439146939</v>
      </c>
      <c r="G52" s="183">
        <v>0.46883143807350258</v>
      </c>
      <c r="H52" s="184">
        <v>0.46153846153846156</v>
      </c>
    </row>
    <row r="53" spans="1:8" ht="13" customHeight="1">
      <c r="A53" s="88" t="s">
        <v>443</v>
      </c>
      <c r="B53" s="2" t="s">
        <v>898</v>
      </c>
      <c r="C53" s="181">
        <v>2.0141030593117289E-3</v>
      </c>
      <c r="D53" s="182">
        <v>1.2812455944325585E-2</v>
      </c>
      <c r="E53" s="183">
        <v>4.4399856930625869</v>
      </c>
      <c r="F53" s="183">
        <v>0.2562491188865117</v>
      </c>
      <c r="G53" s="183">
        <v>0.24407317756200975</v>
      </c>
      <c r="H53" s="184">
        <v>0.64304461942257218</v>
      </c>
    </row>
    <row r="54" spans="1:8" ht="13" customHeight="1">
      <c r="A54" s="88" t="s">
        <v>444</v>
      </c>
      <c r="B54" s="2" t="s">
        <v>917</v>
      </c>
      <c r="C54" s="181">
        <v>2.0140929149469558E-3</v>
      </c>
      <c r="D54" s="182">
        <v>1.4785965508849936E-2</v>
      </c>
      <c r="E54" s="183">
        <v>4.4349266641510177</v>
      </c>
      <c r="F54" s="183">
        <v>0.29571931017699871</v>
      </c>
      <c r="G54" s="185">
        <v>13.964550885772308</v>
      </c>
      <c r="H54" s="184">
        <v>0.61652542372881358</v>
      </c>
    </row>
    <row r="55" spans="1:8" s="29" customFormat="1" ht="13" customHeight="1">
      <c r="A55" s="29" t="s">
        <v>281</v>
      </c>
      <c r="C55" s="186">
        <f>AVERAGE(C35:C54)</f>
        <v>2.0140422476868031E-3</v>
      </c>
      <c r="D55" s="187">
        <f>AVERAGE(D35:D54)</f>
        <v>1.2175575488867727E-2</v>
      </c>
      <c r="E55" s="188">
        <f>AVERAGE(E35:E54)</f>
        <v>4.4096587307019375</v>
      </c>
      <c r="F55" s="186"/>
      <c r="G55" s="188">
        <f>AVERAGE(G35:G54)</f>
        <v>1.3954962911296778</v>
      </c>
      <c r="H55" s="188"/>
    </row>
    <row r="56" spans="1:8" s="29" customFormat="1" ht="13" customHeight="1">
      <c r="A56" s="29" t="s">
        <v>204</v>
      </c>
      <c r="C56" s="186">
        <f>_xlfn.STDEV.S(C35:C54)</f>
        <v>2.9496653540725813E-7</v>
      </c>
      <c r="D56" s="187">
        <f>_xlfn.STDEV.S(D35:D54)</f>
        <v>1.449050194593102E-3</v>
      </c>
      <c r="E56" s="188">
        <f>_xlfn.STDEV.S(E35:E54)</f>
        <v>0.147100805609058</v>
      </c>
      <c r="F56" s="186"/>
      <c r="G56" s="188">
        <f>_xlfn.STDEV.S(G35:G54)</f>
        <v>9.5363652587972663</v>
      </c>
      <c r="H56" s="188"/>
    </row>
    <row r="57" spans="1:8" ht="13" customHeight="1">
      <c r="A57" s="88"/>
      <c r="C57" s="181"/>
      <c r="D57" s="182"/>
      <c r="E57" s="183"/>
      <c r="F57" s="183"/>
      <c r="G57" s="183"/>
      <c r="H57" s="184"/>
    </row>
    <row r="58" spans="1:8" ht="13" customHeight="1">
      <c r="A58" s="88" t="s">
        <v>926</v>
      </c>
      <c r="B58" s="2" t="s">
        <v>898</v>
      </c>
      <c r="C58" s="181">
        <v>2.0146162886011576E-3</v>
      </c>
      <c r="D58" s="182">
        <v>1.2345254241816003E-2</v>
      </c>
      <c r="E58" s="183">
        <v>4.695934869917151</v>
      </c>
      <c r="F58" s="183">
        <v>0.24690508483632007</v>
      </c>
      <c r="G58" s="183">
        <v>-9.725887167827107</v>
      </c>
      <c r="H58" s="184">
        <v>0.44934640522875813</v>
      </c>
    </row>
    <row r="59" spans="1:8" ht="13" customHeight="1">
      <c r="A59" s="88" t="s">
        <v>927</v>
      </c>
      <c r="B59" s="2" t="s">
        <v>917</v>
      </c>
      <c r="C59" s="181">
        <v>2.0147390606706107E-3</v>
      </c>
      <c r="D59" s="182">
        <v>1.1699990631261207E-2</v>
      </c>
      <c r="E59" s="183">
        <v>4.7571617148467471</v>
      </c>
      <c r="F59" s="183">
        <v>0.23399981262522412</v>
      </c>
      <c r="G59" s="183">
        <v>19.623803326180322</v>
      </c>
      <c r="H59" s="184">
        <v>0.63664122137404588</v>
      </c>
    </row>
    <row r="60" spans="1:8" ht="13" customHeight="1">
      <c r="A60" s="88" t="s">
        <v>928</v>
      </c>
      <c r="B60" s="2" t="s">
        <v>898</v>
      </c>
      <c r="C60" s="181">
        <v>2.0146401787064254E-3</v>
      </c>
      <c r="D60" s="182">
        <v>1.3117736512161691E-2</v>
      </c>
      <c r="E60" s="183">
        <v>4.7078489459533301</v>
      </c>
      <c r="F60" s="183">
        <v>0.2623547302432338</v>
      </c>
      <c r="G60" s="183">
        <v>30.556057099743207</v>
      </c>
      <c r="H60" s="184">
        <v>0.67469879518072284</v>
      </c>
    </row>
    <row r="61" spans="1:8" ht="13" customHeight="1">
      <c r="A61" s="88" t="s">
        <v>929</v>
      </c>
      <c r="B61" s="2" t="s">
        <v>917</v>
      </c>
      <c r="C61" s="181">
        <v>2.0144358312791373E-3</v>
      </c>
      <c r="D61" s="182">
        <v>1.2582157258630176E-2</v>
      </c>
      <c r="E61" s="183">
        <v>4.6059401950615531</v>
      </c>
      <c r="F61" s="183">
        <v>0.25164314517260356</v>
      </c>
      <c r="G61" s="183">
        <v>3.1534032462630979</v>
      </c>
      <c r="H61" s="184">
        <v>0.50904977375565608</v>
      </c>
    </row>
    <row r="62" spans="1:8" ht="13" customHeight="1">
      <c r="A62" s="88" t="s">
        <v>930</v>
      </c>
      <c r="B62" s="2" t="s">
        <v>898</v>
      </c>
      <c r="C62" s="181">
        <v>2.0145699323486097E-3</v>
      </c>
      <c r="D62" s="182">
        <v>1.4300837435073514E-2</v>
      </c>
      <c r="E62" s="183">
        <v>4.6728168504934775</v>
      </c>
      <c r="F62" s="183">
        <v>0.28601674870147026</v>
      </c>
      <c r="G62" s="183">
        <v>-5.7728619276224187</v>
      </c>
      <c r="H62" s="184">
        <v>0.60335195530726249</v>
      </c>
    </row>
    <row r="63" spans="1:8" ht="13" customHeight="1">
      <c r="A63" s="88" t="s">
        <v>931</v>
      </c>
      <c r="B63" s="2" t="s">
        <v>898</v>
      </c>
      <c r="C63" s="181">
        <v>2.0145052655454613E-3</v>
      </c>
      <c r="D63" s="182">
        <v>1.1126840541034504E-2</v>
      </c>
      <c r="E63" s="183">
        <v>4.640567297756526</v>
      </c>
      <c r="F63" s="183">
        <v>0.2225368108206901</v>
      </c>
      <c r="G63" s="183">
        <v>-10.167013427409199</v>
      </c>
      <c r="H63" s="184">
        <v>0.49385749385749383</v>
      </c>
    </row>
    <row r="64" spans="1:8" ht="13" customHeight="1">
      <c r="A64" s="88" t="s">
        <v>932</v>
      </c>
      <c r="B64" s="2" t="s">
        <v>917</v>
      </c>
      <c r="C64" s="181">
        <v>2.0144632696772655E-3</v>
      </c>
      <c r="D64" s="182">
        <v>1.0027331850744944E-2</v>
      </c>
      <c r="E64" s="183">
        <v>4.6196238167093284</v>
      </c>
      <c r="F64" s="183">
        <v>0.20054663701489889</v>
      </c>
      <c r="G64" s="183">
        <v>16.311289634132219</v>
      </c>
      <c r="H64" s="184">
        <v>1.0503597122302157</v>
      </c>
    </row>
    <row r="65" spans="1:8" ht="13" customHeight="1">
      <c r="A65" s="88" t="s">
        <v>933</v>
      </c>
      <c r="B65" s="2" t="s">
        <v>917</v>
      </c>
      <c r="C65" s="181">
        <v>2.0147199081555285E-3</v>
      </c>
      <c r="D65" s="182">
        <v>1.4683934723530337E-2</v>
      </c>
      <c r="E65" s="183">
        <v>4.7476102910075646</v>
      </c>
      <c r="F65" s="183">
        <v>0.29367869447060674</v>
      </c>
      <c r="G65" s="183">
        <v>-2.1061979859785307</v>
      </c>
      <c r="H65" s="184">
        <v>0.44931506849315067</v>
      </c>
    </row>
    <row r="66" spans="1:8" ht="13" customHeight="1">
      <c r="A66" s="88" t="s">
        <v>934</v>
      </c>
      <c r="B66" s="2" t="s">
        <v>917</v>
      </c>
      <c r="C66" s="181">
        <v>2.0150147297007428E-3</v>
      </c>
      <c r="D66" s="182">
        <v>1.0216984098114472E-2</v>
      </c>
      <c r="E66" s="183">
        <v>4.8946387895187904</v>
      </c>
      <c r="F66" s="183">
        <v>0.20433968196228944</v>
      </c>
      <c r="G66" s="183">
        <v>32.294702254236832</v>
      </c>
      <c r="H66" s="184"/>
    </row>
    <row r="67" spans="1:8" ht="13" customHeight="1">
      <c r="A67" s="88" t="s">
        <v>352</v>
      </c>
      <c r="B67" s="2" t="s">
        <v>898</v>
      </c>
      <c r="C67" s="181">
        <v>2.014666972962707E-3</v>
      </c>
      <c r="D67" s="182">
        <v>1.0635322983067746E-2</v>
      </c>
      <c r="E67" s="183">
        <v>4.721211331890629</v>
      </c>
      <c r="F67" s="183">
        <v>0.21270645966135493</v>
      </c>
      <c r="G67" s="183">
        <v>5.1687316207230438</v>
      </c>
      <c r="H67" s="184">
        <v>0.58934169278996873</v>
      </c>
    </row>
    <row r="68" spans="1:8" ht="13" customHeight="1">
      <c r="A68" s="88" t="s">
        <v>353</v>
      </c>
      <c r="B68" s="2" t="s">
        <v>917</v>
      </c>
      <c r="C68" s="181">
        <v>2.0146054147378504E-3</v>
      </c>
      <c r="D68" s="182">
        <v>1.1554838433280883E-2</v>
      </c>
      <c r="E68" s="183">
        <v>4.6905120376274922</v>
      </c>
      <c r="F68" s="183">
        <v>0.23109676866561765</v>
      </c>
      <c r="G68" s="183">
        <v>6.8057929250640248</v>
      </c>
      <c r="H68" s="184">
        <v>0.37959183673469393</v>
      </c>
    </row>
    <row r="69" spans="1:8" ht="13" customHeight="1">
      <c r="A69" s="88" t="s">
        <v>354</v>
      </c>
      <c r="B69" s="2" t="s">
        <v>898</v>
      </c>
      <c r="C69" s="181">
        <v>2.0148036523688745E-3</v>
      </c>
      <c r="D69" s="182">
        <v>1.3547630232719668E-2</v>
      </c>
      <c r="E69" s="183">
        <v>4.7893738125246443</v>
      </c>
      <c r="F69" s="183">
        <v>0.27095260465439336</v>
      </c>
      <c r="G69" s="183">
        <v>16.694778502607498</v>
      </c>
      <c r="H69" s="184">
        <v>0.63535031847133761</v>
      </c>
    </row>
    <row r="70" spans="1:8" ht="13" customHeight="1">
      <c r="A70" s="88" t="s">
        <v>355</v>
      </c>
      <c r="B70" s="2" t="s">
        <v>898</v>
      </c>
      <c r="C70" s="181">
        <v>2.0143590391476355E-3</v>
      </c>
      <c r="D70" s="182">
        <v>1.2308273109878738E-2</v>
      </c>
      <c r="E70" s="183">
        <v>4.5676437001973547</v>
      </c>
      <c r="F70" s="183">
        <v>0.24616546219757476</v>
      </c>
      <c r="G70" s="183">
        <v>23.103427051871495</v>
      </c>
      <c r="H70" s="184"/>
    </row>
    <row r="71" spans="1:8" ht="13" customHeight="1">
      <c r="A71" s="88" t="s">
        <v>356</v>
      </c>
      <c r="B71" s="2" t="s">
        <v>898</v>
      </c>
      <c r="C71" s="181">
        <v>2.0147529994038217E-3</v>
      </c>
      <c r="D71" s="182">
        <v>1.1729216992116055E-2</v>
      </c>
      <c r="E71" s="183">
        <v>4.7641130080897653</v>
      </c>
      <c r="F71" s="183">
        <v>0.2345843398423211</v>
      </c>
      <c r="G71" s="183">
        <v>12.654293051210663</v>
      </c>
      <c r="H71" s="184">
        <v>0.58641975308641969</v>
      </c>
    </row>
    <row r="72" spans="1:8" ht="13" customHeight="1">
      <c r="A72" s="88" t="s">
        <v>357</v>
      </c>
      <c r="B72" s="2" t="s">
        <v>917</v>
      </c>
      <c r="C72" s="181">
        <v>2.014879483541468E-3</v>
      </c>
      <c r="D72" s="182">
        <v>1.5196635117765379E-2</v>
      </c>
      <c r="E72" s="183">
        <v>4.8271910739416946</v>
      </c>
      <c r="F72" s="183">
        <v>0.30393270235530756</v>
      </c>
      <c r="G72" s="183">
        <v>11.538480624180881</v>
      </c>
      <c r="H72" s="184">
        <v>0.75726927939317323</v>
      </c>
    </row>
    <row r="73" spans="1:8" ht="13" customHeight="1">
      <c r="A73" s="88" t="s">
        <v>358</v>
      </c>
      <c r="B73" s="2" t="s">
        <v>917</v>
      </c>
      <c r="C73" s="181">
        <v>2.0142615536360418E-3</v>
      </c>
      <c r="D73" s="182">
        <v>1.5937464026629204E-2</v>
      </c>
      <c r="E73" s="183">
        <v>4.5190273469188913</v>
      </c>
      <c r="F73" s="183">
        <v>0.31874928053258411</v>
      </c>
      <c r="G73" s="183">
        <v>24.80052623020179</v>
      </c>
      <c r="H73" s="184">
        <v>0.63667232597623091</v>
      </c>
    </row>
    <row r="74" spans="1:8" ht="13" customHeight="1">
      <c r="A74" s="88" t="s">
        <v>359</v>
      </c>
      <c r="B74" s="2" t="s">
        <v>898</v>
      </c>
      <c r="C74" s="181">
        <v>2.014599639379422E-3</v>
      </c>
      <c r="D74" s="182">
        <v>1.1633915119077669E-2</v>
      </c>
      <c r="E74" s="183">
        <v>4.6876318469091238</v>
      </c>
      <c r="F74" s="183">
        <v>0.2326783023815534</v>
      </c>
      <c r="G74" s="183">
        <v>-9.1946088870971447</v>
      </c>
      <c r="H74" s="184">
        <v>0.44342507645259938</v>
      </c>
    </row>
    <row r="75" spans="1:8" ht="13" customHeight="1">
      <c r="A75" s="88" t="s">
        <v>360</v>
      </c>
      <c r="B75" s="2" t="s">
        <v>898</v>
      </c>
      <c r="C75" s="181">
        <v>2.014944801253147E-3</v>
      </c>
      <c r="D75" s="182">
        <v>1.5156348297136088E-2</v>
      </c>
      <c r="E75" s="183">
        <v>4.859765236957525</v>
      </c>
      <c r="F75" s="183">
        <v>0.30312696594272176</v>
      </c>
      <c r="G75" s="183">
        <v>0.29386379095308612</v>
      </c>
      <c r="H75" s="184">
        <v>0.40928270042194093</v>
      </c>
    </row>
    <row r="76" spans="1:8" ht="13" customHeight="1">
      <c r="A76" s="88" t="s">
        <v>361</v>
      </c>
      <c r="B76" s="2" t="s">
        <v>917</v>
      </c>
      <c r="C76" s="181">
        <v>2.0147229410045473E-3</v>
      </c>
      <c r="D76" s="182">
        <v>8.9046817821388773E-3</v>
      </c>
      <c r="E76" s="183">
        <v>4.7491227830378513</v>
      </c>
      <c r="F76" s="183">
        <v>0.17809363564277755</v>
      </c>
      <c r="G76" s="183">
        <v>4.1745280275258922</v>
      </c>
      <c r="H76" s="184">
        <v>0.54083885209713023</v>
      </c>
    </row>
    <row r="77" spans="1:8" ht="13" customHeight="1">
      <c r="A77" s="88" t="s">
        <v>362</v>
      </c>
      <c r="B77" s="2" t="s">
        <v>898</v>
      </c>
      <c r="C77" s="181">
        <v>2.0145366997301579E-3</v>
      </c>
      <c r="D77" s="182">
        <v>1.2872079808885937E-2</v>
      </c>
      <c r="E77" s="183">
        <v>4.6562436316366362</v>
      </c>
      <c r="F77" s="183">
        <v>0.25744159617771872</v>
      </c>
      <c r="G77" s="183">
        <v>20.863211505582811</v>
      </c>
      <c r="H77" s="184">
        <v>0.67924528301886788</v>
      </c>
    </row>
    <row r="78" spans="1:8" ht="13" customHeight="1">
      <c r="A78" s="191" t="s">
        <v>363</v>
      </c>
      <c r="B78" s="191" t="s">
        <v>917</v>
      </c>
      <c r="C78" s="192">
        <v>2.0151977554692972E-3</v>
      </c>
      <c r="D78" s="193">
        <v>1.1958289982919798E-2</v>
      </c>
      <c r="E78" s="194">
        <v>4.985914357319654</v>
      </c>
      <c r="F78" s="194">
        <v>0.23916579965839596</v>
      </c>
      <c r="G78" s="195">
        <v>137.62212412079055</v>
      </c>
      <c r="H78" s="184">
        <v>0.66129032258064513</v>
      </c>
    </row>
    <row r="79" spans="1:8" ht="13" customHeight="1">
      <c r="A79" s="88" t="s">
        <v>364</v>
      </c>
      <c r="B79" s="2" t="s">
        <v>898</v>
      </c>
      <c r="C79" s="181">
        <v>2.0143533325908372E-3</v>
      </c>
      <c r="D79" s="182">
        <v>1.1741483568183749E-2</v>
      </c>
      <c r="E79" s="183">
        <v>4.5647978210838769</v>
      </c>
      <c r="F79" s="183">
        <v>0.23482967136367497</v>
      </c>
      <c r="G79" s="183">
        <v>33.263026195718524</v>
      </c>
      <c r="H79" s="184">
        <v>0.61330935251798557</v>
      </c>
    </row>
    <row r="80" spans="1:8" s="29" customFormat="1" ht="13" customHeight="1">
      <c r="A80" s="29" t="s">
        <v>281</v>
      </c>
      <c r="C80" s="186">
        <f>AVERAGE(C58:C77, C79)</f>
        <v>2.0146281425924501E-3</v>
      </c>
      <c r="D80" s="187">
        <f t="shared" ref="D80:G80" si="4">AVERAGE(D58:D77, D79)</f>
        <v>1.2443759845868898E-2</v>
      </c>
      <c r="E80" s="188">
        <f t="shared" si="4"/>
        <v>4.7018464953371408</v>
      </c>
      <c r="F80" s="186"/>
      <c r="G80" s="188">
        <f t="shared" si="4"/>
        <v>10.682540270964811</v>
      </c>
      <c r="H80" s="188"/>
    </row>
    <row r="81" spans="1:9" s="29" customFormat="1" ht="13" customHeight="1">
      <c r="A81" s="29" t="s">
        <v>204</v>
      </c>
      <c r="C81" s="186">
        <f>_xlfn.STDEV.S(C58:C77,C79)</f>
        <v>1.9563492885804363E-7</v>
      </c>
      <c r="D81" s="187">
        <f>_xlfn.STDEV.S(D58:D77,D79)</f>
        <v>1.8553089821058298E-3</v>
      </c>
      <c r="E81" s="188">
        <f>_xlfn.STDEV.S(E58:E77,E79)</f>
        <v>9.7563798552782216E-2</v>
      </c>
      <c r="F81" s="186"/>
      <c r="G81" s="188">
        <f>_xlfn.STDEV.S(G58:G77,G79)</f>
        <v>13.990350190064998</v>
      </c>
      <c r="H81" s="188"/>
    </row>
    <row r="82" spans="1:9" ht="13" customHeight="1">
      <c r="A82" s="88"/>
      <c r="C82" s="181"/>
      <c r="D82" s="182"/>
      <c r="E82" s="183"/>
      <c r="F82" s="183"/>
      <c r="G82" s="183"/>
      <c r="H82" s="184"/>
    </row>
    <row r="83" spans="1:9" ht="13" customHeight="1">
      <c r="A83" s="88" t="s">
        <v>935</v>
      </c>
      <c r="B83" s="2" t="s">
        <v>898</v>
      </c>
      <c r="C83" s="181">
        <v>2.0138154280820008E-3</v>
      </c>
      <c r="D83" s="182">
        <v>1.128350100182603E-2</v>
      </c>
      <c r="E83" s="183">
        <v>4.2965430291246296</v>
      </c>
      <c r="F83" s="183">
        <v>0.22567002003652059</v>
      </c>
      <c r="G83" s="183">
        <v>28.314141462956211</v>
      </c>
      <c r="H83" s="184">
        <v>0.67281553398058247</v>
      </c>
    </row>
    <row r="84" spans="1:9" ht="13" customHeight="1">
      <c r="A84" s="88" t="s">
        <v>936</v>
      </c>
      <c r="B84" s="2" t="s">
        <v>898</v>
      </c>
      <c r="C84" s="181">
        <v>2.014450183899486E-3</v>
      </c>
      <c r="D84" s="182">
        <v>1.1767956481938614E-2</v>
      </c>
      <c r="E84" s="183">
        <v>4.6130978952154678</v>
      </c>
      <c r="F84" s="183">
        <v>0.23535912963877226</v>
      </c>
      <c r="G84" s="183">
        <v>-8.5275437486019623</v>
      </c>
      <c r="H84" s="184"/>
    </row>
    <row r="85" spans="1:9" ht="13" customHeight="1">
      <c r="A85" s="88" t="s">
        <v>937</v>
      </c>
      <c r="B85" s="2" t="s">
        <v>898</v>
      </c>
      <c r="C85" s="181">
        <v>2.0140494697536079E-3</v>
      </c>
      <c r="D85" s="182">
        <v>1.2213181224963831E-2</v>
      </c>
      <c r="E85" s="183">
        <v>4.4132603997646402</v>
      </c>
      <c r="F85" s="183">
        <v>0.2442636244992766</v>
      </c>
      <c r="G85" s="183">
        <v>30.104777521907167</v>
      </c>
      <c r="H85" s="184">
        <v>0.68400392541707555</v>
      </c>
    </row>
    <row r="86" spans="1:9" ht="13" customHeight="1">
      <c r="A86" s="88" t="s">
        <v>938</v>
      </c>
      <c r="B86" s="2" t="s">
        <v>898</v>
      </c>
      <c r="C86" s="181">
        <v>2.0131742997078141E-3</v>
      </c>
      <c r="D86" s="182">
        <v>1.5091411507480008E-2</v>
      </c>
      <c r="E86" s="183">
        <v>3.9768101475234907</v>
      </c>
      <c r="F86" s="183">
        <v>0.30182823014960014</v>
      </c>
      <c r="G86" s="183">
        <v>18.656557005057618</v>
      </c>
      <c r="H86" s="184">
        <v>0.65345268542199486</v>
      </c>
    </row>
    <row r="87" spans="1:9" ht="13" customHeight="1">
      <c r="A87" s="88" t="s">
        <v>939</v>
      </c>
      <c r="B87" s="2" t="s">
        <v>898</v>
      </c>
      <c r="C87" s="181">
        <v>2.014094149583139E-3</v>
      </c>
      <c r="D87" s="182">
        <v>1.2546057697688186E-2</v>
      </c>
      <c r="E87" s="183">
        <v>4.4355423813779993</v>
      </c>
      <c r="F87" s="183">
        <v>0.25092115395376374</v>
      </c>
      <c r="G87" s="183">
        <v>-1.6540306390939286</v>
      </c>
      <c r="H87" s="184"/>
    </row>
    <row r="88" spans="1:9" ht="13" customHeight="1">
      <c r="A88" s="88" t="s">
        <v>940</v>
      </c>
      <c r="B88" s="2" t="s">
        <v>898</v>
      </c>
      <c r="C88" s="181">
        <v>2.014081112922496E-3</v>
      </c>
      <c r="D88" s="182">
        <v>1.2039714807519319E-2</v>
      </c>
      <c r="E88" s="183">
        <v>4.4290409547655951</v>
      </c>
      <c r="F88" s="183">
        <v>0.24079429615038639</v>
      </c>
      <c r="G88" s="183">
        <v>-6.9989420084963676</v>
      </c>
      <c r="H88" s="184">
        <v>0.39219330855018592</v>
      </c>
    </row>
    <row r="89" spans="1:9" ht="13" customHeight="1">
      <c r="A89" s="88" t="s">
        <v>941</v>
      </c>
      <c r="B89" s="2" t="s">
        <v>898</v>
      </c>
      <c r="C89" s="181">
        <v>2.0142575392035175E-3</v>
      </c>
      <c r="D89" s="182">
        <v>1.4616616342177145E-2</v>
      </c>
      <c r="E89" s="183">
        <v>4.5170253358854939</v>
      </c>
      <c r="F89" s="183">
        <v>0.29233232684354288</v>
      </c>
      <c r="G89" s="183">
        <v>12.202698641800858</v>
      </c>
      <c r="H89" s="184">
        <v>0.58695652173913049</v>
      </c>
    </row>
    <row r="90" spans="1:9" ht="13" customHeight="1">
      <c r="A90" s="88" t="s">
        <v>942</v>
      </c>
      <c r="B90" s="2" t="s">
        <v>898</v>
      </c>
      <c r="C90" s="181">
        <v>2.0146039544298405E-3</v>
      </c>
      <c r="D90" s="182">
        <v>9.9980932641791764E-3</v>
      </c>
      <c r="E90" s="183">
        <v>4.6897837770998319</v>
      </c>
      <c r="F90" s="183">
        <v>0.19996186528358353</v>
      </c>
      <c r="G90" s="183">
        <v>-9.8237053377961736</v>
      </c>
      <c r="H90" s="184">
        <v>0.36249999999999999</v>
      </c>
    </row>
    <row r="91" spans="1:9" ht="13" customHeight="1">
      <c r="A91" s="88" t="s">
        <v>943</v>
      </c>
      <c r="B91" s="2" t="s">
        <v>898</v>
      </c>
      <c r="C91" s="181">
        <v>2.013822015512319E-3</v>
      </c>
      <c r="D91" s="182">
        <v>1.2920548029402623E-2</v>
      </c>
      <c r="E91" s="183">
        <v>4.2998282028321455</v>
      </c>
      <c r="F91" s="183">
        <v>0.25841096058805246</v>
      </c>
      <c r="G91" s="183">
        <v>8.2710189822974947</v>
      </c>
      <c r="H91" s="184">
        <v>0.69024390243902445</v>
      </c>
    </row>
    <row r="92" spans="1:9" ht="13" customHeight="1">
      <c r="A92" s="88" t="s">
        <v>396</v>
      </c>
      <c r="B92" s="2" t="s">
        <v>898</v>
      </c>
      <c r="C92" s="181">
        <v>2.0141574356685238E-3</v>
      </c>
      <c r="D92" s="182">
        <v>1.193187193122525E-2</v>
      </c>
      <c r="E92" s="183">
        <v>4.4671033655114822</v>
      </c>
      <c r="F92" s="183">
        <v>0.23863743862450498</v>
      </c>
      <c r="G92" s="183">
        <v>2.2905885980912144</v>
      </c>
      <c r="H92" s="184">
        <v>0.58281249999999996</v>
      </c>
    </row>
    <row r="93" spans="1:9" ht="13" customHeight="1">
      <c r="A93" s="88" t="s">
        <v>397</v>
      </c>
      <c r="B93" s="2" t="s">
        <v>898</v>
      </c>
      <c r="C93" s="181">
        <v>2.0141696914461353E-3</v>
      </c>
      <c r="D93" s="182">
        <v>1.2540819636285701E-2</v>
      </c>
      <c r="E93" s="183">
        <v>4.4732153631235061</v>
      </c>
      <c r="F93" s="183">
        <v>0.25081639272571404</v>
      </c>
      <c r="G93" s="183">
        <v>-7.1945940900131733</v>
      </c>
      <c r="H93" s="184">
        <v>0.34615384615384615</v>
      </c>
      <c r="I93" s="184"/>
    </row>
    <row r="94" spans="1:9" ht="13" customHeight="1">
      <c r="A94" s="88" t="s">
        <v>398</v>
      </c>
      <c r="B94" s="2" t="s">
        <v>898</v>
      </c>
      <c r="C94" s="181">
        <v>2.0139267381961059E-3</v>
      </c>
      <c r="D94" s="182">
        <v>1.487041674291948E-2</v>
      </c>
      <c r="E94" s="183">
        <v>4.3520537582815155</v>
      </c>
      <c r="F94" s="183">
        <v>0.29740833485838958</v>
      </c>
      <c r="G94" s="183">
        <v>0.85593259959735324</v>
      </c>
      <c r="H94" s="184">
        <v>0.43137254901960786</v>
      </c>
    </row>
    <row r="95" spans="1:9" s="29" customFormat="1" ht="13" customHeight="1">
      <c r="A95" s="29" t="s">
        <v>281</v>
      </c>
      <c r="C95" s="186">
        <f>AVERAGE(C83:C94)</f>
        <v>2.0140501682004157E-3</v>
      </c>
      <c r="D95" s="187">
        <f t="shared" ref="D95:G95" si="5">AVERAGE(D83:D94)</f>
        <v>1.2651682388967113E-2</v>
      </c>
      <c r="E95" s="188">
        <f t="shared" si="5"/>
        <v>4.4136087175421501</v>
      </c>
      <c r="F95" s="186"/>
      <c r="G95" s="188">
        <f t="shared" si="5"/>
        <v>5.5414082489755261</v>
      </c>
      <c r="H95" s="188"/>
      <c r="I95" s="184">
        <f>AVERAGE(E35:E54,E58:E77,E79,E83:E94)</f>
        <v>4.5263255778608382</v>
      </c>
    </row>
    <row r="96" spans="1:9" s="29" customFormat="1" ht="13" customHeight="1">
      <c r="A96" s="29" t="s">
        <v>204</v>
      </c>
      <c r="C96" s="186">
        <f>_xlfn.STDEV.S(C83:C94)</f>
        <v>3.6029232784788583E-7</v>
      </c>
      <c r="D96" s="187">
        <f>_xlfn.STDEV.S(D83:D94)</f>
        <v>1.5258709381937704E-3</v>
      </c>
      <c r="E96" s="188">
        <f>_xlfn.STDEV.S(E83:E94)</f>
        <v>0.1796789985277753</v>
      </c>
      <c r="F96" s="186"/>
      <c r="G96" s="188">
        <f>_xlfn.STDEV.S(G83:G94)</f>
        <v>14.089232822134672</v>
      </c>
      <c r="H96" s="188"/>
      <c r="I96" s="188">
        <f>_xlfn.STDEV.S(E35:E54,E58:E77,E79,E83:E94)</f>
        <v>0.19749789435224022</v>
      </c>
    </row>
    <row r="97" spans="1:9" ht="13" customHeight="1">
      <c r="A97" s="88"/>
      <c r="C97" s="181"/>
      <c r="D97" s="182"/>
      <c r="E97" s="183"/>
      <c r="F97" s="183"/>
      <c r="G97" s="183"/>
      <c r="H97" s="184"/>
    </row>
    <row r="98" spans="1:9" ht="13" customHeight="1">
      <c r="A98" s="88" t="s">
        <v>944</v>
      </c>
      <c r="B98" s="2" t="s">
        <v>898</v>
      </c>
      <c r="C98" s="181">
        <v>2.0126566929026825E-3</v>
      </c>
      <c r="D98" s="182">
        <v>1.3281315236812958E-2</v>
      </c>
      <c r="E98" s="183">
        <v>3.7186778888302907</v>
      </c>
      <c r="F98" s="183">
        <v>0.26562630473625914</v>
      </c>
      <c r="G98" s="183">
        <v>5.956739308280401</v>
      </c>
      <c r="H98" s="184">
        <v>0.42017738359201773</v>
      </c>
    </row>
    <row r="99" spans="1:9" ht="13" customHeight="1">
      <c r="A99" s="88" t="s">
        <v>945</v>
      </c>
      <c r="B99" s="2" t="s">
        <v>898</v>
      </c>
      <c r="C99" s="181">
        <v>2.0132333644945826E-3</v>
      </c>
      <c r="D99" s="182">
        <v>1.3730612335948458E-2</v>
      </c>
      <c r="E99" s="183">
        <v>4.0062659558062208</v>
      </c>
      <c r="F99" s="183">
        <v>0.27461224671896917</v>
      </c>
      <c r="G99" s="183">
        <v>1.9762922380007097</v>
      </c>
      <c r="H99" s="184"/>
    </row>
    <row r="100" spans="1:9" ht="13" customHeight="1">
      <c r="A100" s="88" t="s">
        <v>946</v>
      </c>
      <c r="B100" s="2" t="s">
        <v>898</v>
      </c>
      <c r="C100" s="181">
        <v>2.0127995199436068E-3</v>
      </c>
      <c r="D100" s="182">
        <v>1.3389161571599618E-2</v>
      </c>
      <c r="E100" s="183">
        <v>3.789906215642791</v>
      </c>
      <c r="F100" s="183">
        <v>0.26778323143199234</v>
      </c>
      <c r="G100" s="183">
        <v>10.716709355204479</v>
      </c>
      <c r="H100" s="184">
        <v>0.47748976807639837</v>
      </c>
    </row>
    <row r="101" spans="1:9" ht="13" customHeight="1">
      <c r="A101" s="88" t="s">
        <v>947</v>
      </c>
      <c r="B101" s="2" t="s">
        <v>898</v>
      </c>
      <c r="C101" s="181">
        <v>2.0130906200766952E-3</v>
      </c>
      <c r="D101" s="182">
        <v>1.2501345276790655E-2</v>
      </c>
      <c r="E101" s="183">
        <v>3.9350788333807341</v>
      </c>
      <c r="F101" s="183">
        <v>0.25002690553581308</v>
      </c>
      <c r="G101" s="183">
        <v>10.256945066455426</v>
      </c>
      <c r="H101" s="184">
        <v>0.44514106583072099</v>
      </c>
    </row>
    <row r="102" spans="1:9" ht="13" customHeight="1">
      <c r="A102" s="88" t="s">
        <v>948</v>
      </c>
      <c r="B102" s="2" t="s">
        <v>898</v>
      </c>
      <c r="C102" s="181">
        <v>2.0134853879253964E-3</v>
      </c>
      <c r="D102" s="182">
        <v>1.2058579455359781E-2</v>
      </c>
      <c r="E102" s="183">
        <v>4.131950890383207</v>
      </c>
      <c r="F102" s="183">
        <v>0.24117158910719561</v>
      </c>
      <c r="G102" s="183">
        <v>11.083503880220436</v>
      </c>
      <c r="H102" s="184"/>
    </row>
    <row r="103" spans="1:9" ht="13" customHeight="1">
      <c r="A103" s="88" t="s">
        <v>949</v>
      </c>
      <c r="B103" s="2" t="s">
        <v>898</v>
      </c>
      <c r="C103" s="181">
        <v>2.0130088654422215E-3</v>
      </c>
      <c r="D103" s="182">
        <v>1.3590131822230423E-2</v>
      </c>
      <c r="E103" s="183">
        <v>3.8943075215547296</v>
      </c>
      <c r="F103" s="183">
        <v>0.27180263644460845</v>
      </c>
      <c r="G103" s="183">
        <v>4.6113852856852544</v>
      </c>
      <c r="H103" s="184"/>
    </row>
    <row r="104" spans="1:9" ht="13" customHeight="1">
      <c r="A104" s="88" t="s">
        <v>950</v>
      </c>
      <c r="B104" s="2" t="s">
        <v>898</v>
      </c>
      <c r="C104" s="181">
        <v>2.0128307318800177E-3</v>
      </c>
      <c r="D104" s="182">
        <v>1.0961181270333228E-2</v>
      </c>
      <c r="E104" s="183">
        <v>3.8054717135536098</v>
      </c>
      <c r="F104" s="183">
        <v>0.21922362540666457</v>
      </c>
      <c r="G104" s="183">
        <v>19.153801992663478</v>
      </c>
      <c r="H104" s="184">
        <v>0.38087520259319285</v>
      </c>
    </row>
    <row r="105" spans="1:9" ht="13" customHeight="1">
      <c r="A105" s="88" t="s">
        <v>951</v>
      </c>
      <c r="B105" s="2" t="s">
        <v>898</v>
      </c>
      <c r="C105" s="181">
        <v>2.0131941591471901E-3</v>
      </c>
      <c r="D105" s="182">
        <v>1.3578634021564909E-2</v>
      </c>
      <c r="E105" s="183">
        <v>3.9867141168912212</v>
      </c>
      <c r="F105" s="183">
        <v>0.27157268043129817</v>
      </c>
      <c r="G105" s="183">
        <v>14.40741692814742</v>
      </c>
      <c r="H105" s="184"/>
    </row>
    <row r="106" spans="1:9" s="29" customFormat="1" ht="13" customHeight="1">
      <c r="A106" s="29" t="s">
        <v>281</v>
      </c>
      <c r="C106" s="186">
        <f>AVERAGE(C98:C105)</f>
        <v>2.0130374177265492E-3</v>
      </c>
      <c r="D106" s="187">
        <f>AVERAGE(D98:D105)</f>
        <v>1.2886370123830005E-2</v>
      </c>
      <c r="E106" s="188">
        <f>AVERAGE(E98:E105)</f>
        <v>3.9085466420053505</v>
      </c>
      <c r="F106" s="186"/>
      <c r="G106" s="188">
        <f>AVERAGE(G98:G105)</f>
        <v>9.7703492568322012</v>
      </c>
      <c r="H106" s="188"/>
      <c r="I106" s="188">
        <f>COUNT(E35:E54,E58:E77,E79,E83:E94)</f>
        <v>53</v>
      </c>
    </row>
    <row r="107" spans="1:9" s="29" customFormat="1" ht="13" customHeight="1">
      <c r="A107" s="29" t="s">
        <v>204</v>
      </c>
      <c r="C107" s="186">
        <f>_xlfn.STDEV.S(C98:C105)</f>
        <v>2.703309655899347E-7</v>
      </c>
      <c r="D107" s="187">
        <f>_xlfn.STDEV.S(D98:D105)</f>
        <v>9.7364332516414794E-4</v>
      </c>
      <c r="E107" s="188">
        <f>_xlfn.STDEV.S(E98:E105)</f>
        <v>0.13481496388885958</v>
      </c>
      <c r="F107" s="186"/>
      <c r="G107" s="188">
        <f>_xlfn.STDEV.S(G98:G105)</f>
        <v>5.5332008913038244</v>
      </c>
      <c r="H107" s="188"/>
    </row>
    <row r="108" spans="1:9" ht="13" customHeight="1">
      <c r="A108" s="2" t="s">
        <v>952</v>
      </c>
      <c r="B108" s="2" t="s">
        <v>898</v>
      </c>
      <c r="C108" s="181">
        <v>2.0135470599361833E-3</v>
      </c>
      <c r="D108" s="182">
        <v>1.4653261441754188E-2</v>
      </c>
      <c r="E108" s="184">
        <v>4.1627069300733677</v>
      </c>
      <c r="F108" s="184">
        <v>0.29306522883508374</v>
      </c>
      <c r="G108" s="184">
        <v>0.28520592267451406</v>
      </c>
      <c r="H108" s="184"/>
    </row>
    <row r="109" spans="1:9" ht="13" customHeight="1">
      <c r="A109" s="88"/>
      <c r="C109" s="181"/>
      <c r="D109" s="182"/>
      <c r="E109" s="183"/>
      <c r="F109" s="183"/>
      <c r="G109" s="183"/>
      <c r="H109" s="184"/>
    </row>
    <row r="110" spans="1:9" ht="13" customHeight="1">
      <c r="A110" s="88" t="s">
        <v>953</v>
      </c>
      <c r="B110" s="2" t="s">
        <v>898</v>
      </c>
      <c r="C110" s="181">
        <v>2.0150985923142874E-3</v>
      </c>
      <c r="D110" s="182">
        <v>1.1659932734577159E-2</v>
      </c>
      <c r="E110" s="183">
        <v>4.9364613576139416</v>
      </c>
      <c r="F110" s="183">
        <v>0.23319865469154319</v>
      </c>
      <c r="G110" s="183">
        <v>1.664892328388845</v>
      </c>
      <c r="H110" s="184">
        <v>0.7</v>
      </c>
    </row>
    <row r="111" spans="1:9" ht="13" customHeight="1">
      <c r="A111" s="88" t="s">
        <v>954</v>
      </c>
      <c r="B111" s="2" t="s">
        <v>898</v>
      </c>
      <c r="C111" s="181">
        <v>2.0154254414398755E-3</v>
      </c>
      <c r="D111" s="182">
        <v>1.4699121582465396E-2</v>
      </c>
      <c r="E111" s="183">
        <v>5.0994621184299316</v>
      </c>
      <c r="F111" s="183">
        <v>0.29398243164930793</v>
      </c>
      <c r="G111" s="183">
        <v>25.804524538996066</v>
      </c>
      <c r="H111" s="184">
        <v>1.3756906077348066</v>
      </c>
    </row>
    <row r="112" spans="1:9" ht="13" customHeight="1">
      <c r="A112" s="88" t="s">
        <v>955</v>
      </c>
      <c r="B112" s="2" t="s">
        <v>917</v>
      </c>
      <c r="C112" s="181">
        <v>2.0148845839306124E-3</v>
      </c>
      <c r="D112" s="182">
        <v>9.9448012324035908E-3</v>
      </c>
      <c r="E112" s="183">
        <v>4.8297346552026443</v>
      </c>
      <c r="F112" s="183">
        <v>0.19889602464807182</v>
      </c>
      <c r="G112" s="183">
        <v>39.57079796585279</v>
      </c>
      <c r="H112" s="184">
        <v>0.62334437086092709</v>
      </c>
    </row>
    <row r="113" spans="1:8" ht="13" customHeight="1">
      <c r="A113" s="88" t="s">
        <v>956</v>
      </c>
      <c r="B113" s="2" t="s">
        <v>917</v>
      </c>
      <c r="C113" s="181">
        <v>2.0146077921299817E-3</v>
      </c>
      <c r="D113" s="182">
        <v>1.0673904453071004E-2</v>
      </c>
      <c r="E113" s="183">
        <v>4.691697651098</v>
      </c>
      <c r="F113" s="183">
        <v>0.21347808906142007</v>
      </c>
      <c r="G113" s="183">
        <v>16.696883740692357</v>
      </c>
      <c r="H113" s="184">
        <v>0.66149068322981364</v>
      </c>
    </row>
    <row r="114" spans="1:8" ht="13" customHeight="1">
      <c r="A114" s="88" t="s">
        <v>957</v>
      </c>
      <c r="B114" s="2" t="s">
        <v>898</v>
      </c>
      <c r="C114" s="181">
        <v>2.015098003388368E-3</v>
      </c>
      <c r="D114" s="182">
        <v>1.2129272081637874E-2</v>
      </c>
      <c r="E114" s="183">
        <v>4.9361676582724279</v>
      </c>
      <c r="F114" s="183">
        <v>0.24258544163275747</v>
      </c>
      <c r="G114" s="183">
        <v>19.461313732339324</v>
      </c>
      <c r="H114" s="184">
        <v>0.61036789297658867</v>
      </c>
    </row>
    <row r="115" spans="1:8" ht="13" customHeight="1">
      <c r="A115" s="88" t="s">
        <v>958</v>
      </c>
      <c r="B115" s="2" t="s">
        <v>917</v>
      </c>
      <c r="C115" s="181">
        <v>2.0151266421149392E-3</v>
      </c>
      <c r="D115" s="182">
        <v>1.04186219247077E-2</v>
      </c>
      <c r="E115" s="183">
        <v>4.9504498877614989</v>
      </c>
      <c r="F115" s="183">
        <v>0.20837243849415402</v>
      </c>
      <c r="G115" s="183">
        <v>9.3618751067196637</v>
      </c>
      <c r="H115" s="184">
        <v>0.65329768270944732</v>
      </c>
    </row>
    <row r="116" spans="1:8" ht="13" customHeight="1">
      <c r="A116" s="88" t="s">
        <v>959</v>
      </c>
      <c r="B116" s="2" t="s">
        <v>917</v>
      </c>
      <c r="C116" s="181">
        <v>2.014672428001379E-3</v>
      </c>
      <c r="D116" s="182">
        <v>1.2104645830242206E-2</v>
      </c>
      <c r="E116" s="183">
        <v>4.7239317780665147</v>
      </c>
      <c r="F116" s="183">
        <v>0.24209291660484411</v>
      </c>
      <c r="G116" s="183">
        <v>24.205458531997692</v>
      </c>
      <c r="H116" s="184"/>
    </row>
    <row r="117" spans="1:8" ht="13" customHeight="1">
      <c r="A117" s="88" t="s">
        <v>960</v>
      </c>
      <c r="B117" s="2" t="s">
        <v>917</v>
      </c>
      <c r="C117" s="181">
        <v>2.0147517864147146E-3</v>
      </c>
      <c r="D117" s="182">
        <v>1.2046683766120036E-2</v>
      </c>
      <c r="E117" s="183">
        <v>4.7635080863328572</v>
      </c>
      <c r="F117" s="183">
        <v>0.24093367532240073</v>
      </c>
      <c r="G117" s="183">
        <v>6.3859020937516053</v>
      </c>
      <c r="H117" s="184">
        <v>0.93726235741444863</v>
      </c>
    </row>
    <row r="118" spans="1:8" ht="13" customHeight="1">
      <c r="A118" s="88" t="s">
        <v>961</v>
      </c>
      <c r="B118" s="2" t="s">
        <v>917</v>
      </c>
      <c r="C118" s="181">
        <v>2.0147413465267149E-3</v>
      </c>
      <c r="D118" s="182">
        <v>1.2390362658328449E-2</v>
      </c>
      <c r="E118" s="183">
        <v>4.7583016789920496</v>
      </c>
      <c r="F118" s="183">
        <v>0.24780725316656899</v>
      </c>
      <c r="G118" s="183">
        <v>11.089385513489747</v>
      </c>
      <c r="H118" s="184">
        <v>1.0621707060063224</v>
      </c>
    </row>
    <row r="119" spans="1:8" ht="13" customHeight="1">
      <c r="A119" s="88" t="s">
        <v>514</v>
      </c>
      <c r="B119" s="2" t="s">
        <v>898</v>
      </c>
      <c r="C119" s="181">
        <v>2.0148254058576383E-3</v>
      </c>
      <c r="D119" s="182">
        <v>1.2330461761751869E-2</v>
      </c>
      <c r="E119" s="183">
        <v>4.8002223507073172</v>
      </c>
      <c r="F119" s="183">
        <v>0.24660923523503739</v>
      </c>
      <c r="G119" s="183">
        <v>-7.9483008776087498</v>
      </c>
      <c r="H119" s="184">
        <v>0.87358490566037728</v>
      </c>
    </row>
    <row r="120" spans="1:8" ht="13" customHeight="1">
      <c r="A120" s="191" t="s">
        <v>515</v>
      </c>
      <c r="B120" s="191" t="s">
        <v>917</v>
      </c>
      <c r="C120" s="192">
        <v>2.0146668549729484E-3</v>
      </c>
      <c r="D120" s="193">
        <v>1.2465885738610794E-2</v>
      </c>
      <c r="E120" s="194">
        <v>4.7211524900001578</v>
      </c>
      <c r="F120" s="194">
        <v>0.24931771477221587</v>
      </c>
      <c r="G120" s="195">
        <v>57.048493502535933</v>
      </c>
      <c r="H120" s="184"/>
    </row>
    <row r="121" spans="1:8" ht="13" customHeight="1">
      <c r="A121" s="88" t="s">
        <v>516</v>
      </c>
      <c r="B121" s="2" t="s">
        <v>917</v>
      </c>
      <c r="C121" s="181">
        <v>2.0145985257244534E-3</v>
      </c>
      <c r="D121" s="182">
        <v>1.1314511722218019E-2</v>
      </c>
      <c r="E121" s="183">
        <v>4.6870764634219242</v>
      </c>
      <c r="F121" s="183">
        <v>0.22629023444436039</v>
      </c>
      <c r="G121" s="183">
        <v>33.354614223265003</v>
      </c>
      <c r="H121" s="184">
        <v>0.94431731502669725</v>
      </c>
    </row>
    <row r="122" spans="1:8" ht="13" customHeight="1">
      <c r="A122" s="191" t="s">
        <v>517</v>
      </c>
      <c r="B122" s="191" t="s">
        <v>917</v>
      </c>
      <c r="C122" s="192">
        <v>2.0105655619635089E-3</v>
      </c>
      <c r="D122" s="193">
        <v>1.4511712974838636E-2</v>
      </c>
      <c r="E122" s="194">
        <v>2.6758238397710521</v>
      </c>
      <c r="F122" s="194">
        <v>0.29023425949677273</v>
      </c>
      <c r="G122" s="195">
        <v>50.321161656749823</v>
      </c>
      <c r="H122" s="184"/>
    </row>
    <row r="123" spans="1:8" ht="13" customHeight="1">
      <c r="A123" s="191" t="s">
        <v>518</v>
      </c>
      <c r="B123" s="191" t="s">
        <v>917</v>
      </c>
      <c r="C123" s="192">
        <v>2.0148084158278928E-3</v>
      </c>
      <c r="D123" s="193">
        <v>1.1378139763597608E-2</v>
      </c>
      <c r="E123" s="194">
        <v>4.7917493655957877</v>
      </c>
      <c r="F123" s="194">
        <v>0.22756279527195217</v>
      </c>
      <c r="G123" s="195">
        <v>54.916190632845343</v>
      </c>
      <c r="H123" s="184"/>
    </row>
    <row r="124" spans="1:8" ht="13" customHeight="1">
      <c r="A124" s="88" t="s">
        <v>519</v>
      </c>
      <c r="B124" s="2" t="s">
        <v>917</v>
      </c>
      <c r="C124" s="181">
        <v>2.0148488799342254E-3</v>
      </c>
      <c r="D124" s="182">
        <v>1.4436331955261349E-2</v>
      </c>
      <c r="E124" s="183">
        <v>4.8119289518380182</v>
      </c>
      <c r="F124" s="183">
        <v>0.288726639105227</v>
      </c>
      <c r="G124" s="183">
        <v>13.163052047313538</v>
      </c>
      <c r="H124" s="184"/>
    </row>
    <row r="125" spans="1:8" s="29" customFormat="1" ht="13" customHeight="1">
      <c r="A125" s="29" t="s">
        <v>281</v>
      </c>
      <c r="C125" s="186">
        <f>AVERAGE(C110:C119,C121,C124)</f>
        <v>2.0148899523147654E-3</v>
      </c>
      <c r="D125" s="187">
        <f t="shared" ref="D125:G125" si="6">AVERAGE(D110:D119,D121,D124)</f>
        <v>1.2012387641898719E-2</v>
      </c>
      <c r="E125" s="188">
        <f>AVERAGE(E110:E119,E121,E124)</f>
        <v>4.8324118864780932</v>
      </c>
      <c r="F125" s="186"/>
      <c r="G125" s="188">
        <f t="shared" si="6"/>
        <v>16.067533245433157</v>
      </c>
      <c r="H125" s="188"/>
    </row>
    <row r="126" spans="1:8" s="29" customFormat="1" ht="13" customHeight="1">
      <c r="A126" s="29" t="s">
        <v>204</v>
      </c>
      <c r="C126" s="186">
        <f>_xlfn.STDEV.S(C110:C119,C121,C124)</f>
        <v>2.5018224609558838E-7</v>
      </c>
      <c r="D126" s="187">
        <f>_xlfn.STDEV.S(D110:D119,D121,D124)</f>
        <v>1.4327096565570348E-3</v>
      </c>
      <c r="E126" s="188">
        <f>_xlfn.STDEV.S(E110:E119,E121,E124)</f>
        <v>0.12476672955097097</v>
      </c>
      <c r="F126" s="186"/>
      <c r="G126" s="188">
        <f>_xlfn.STDEV.S(G110:G119,G121,G124)</f>
        <v>13.417456165297994</v>
      </c>
      <c r="H126" s="188"/>
    </row>
    <row r="127" spans="1:8" ht="13" customHeight="1">
      <c r="A127" s="88"/>
      <c r="C127" s="181"/>
      <c r="D127" s="182"/>
      <c r="E127" s="183"/>
      <c r="F127" s="183"/>
      <c r="G127" s="183"/>
      <c r="H127" s="184"/>
    </row>
    <row r="128" spans="1:8" ht="13" customHeight="1">
      <c r="A128" s="88" t="s">
        <v>962</v>
      </c>
      <c r="B128" s="2" t="s">
        <v>898</v>
      </c>
      <c r="C128" s="181">
        <v>2.014627858092696E-3</v>
      </c>
      <c r="D128" s="182">
        <v>1.1438369532520795E-2</v>
      </c>
      <c r="E128" s="183">
        <v>4.7017046143507102</v>
      </c>
      <c r="F128" s="183">
        <v>0.2287673906504159</v>
      </c>
      <c r="G128" s="183">
        <v>-7.5388624159261948</v>
      </c>
      <c r="H128" s="184">
        <v>0.8038585209003215</v>
      </c>
    </row>
    <row r="129" spans="1:9" ht="13" customHeight="1">
      <c r="A129" s="88" t="s">
        <v>963</v>
      </c>
      <c r="B129" s="2" t="s">
        <v>898</v>
      </c>
      <c r="C129" s="181">
        <v>2.0148083735712771E-3</v>
      </c>
      <c r="D129" s="182">
        <v>1.1254019786779522E-2</v>
      </c>
      <c r="E129" s="183">
        <v>4.7917282920790782</v>
      </c>
      <c r="F129" s="183">
        <v>0.22508039573559044</v>
      </c>
      <c r="G129" s="183">
        <v>-4.0773522286848385</v>
      </c>
      <c r="H129" s="184">
        <v>0.57324840764331209</v>
      </c>
    </row>
    <row r="130" spans="1:9" ht="13" customHeight="1">
      <c r="A130" s="88" t="s">
        <v>964</v>
      </c>
      <c r="B130" s="88" t="s">
        <v>898</v>
      </c>
      <c r="C130" s="197">
        <v>2.0141575216093056E-3</v>
      </c>
      <c r="D130" s="198">
        <v>1.1361942081437003E-2</v>
      </c>
      <c r="E130" s="183">
        <v>4.4671462244691984</v>
      </c>
      <c r="F130" s="183">
        <v>0.22723884162874006</v>
      </c>
      <c r="G130" s="183">
        <v>-13.34951987397922</v>
      </c>
      <c r="H130" s="184">
        <v>0.60613207547169812</v>
      </c>
    </row>
    <row r="131" spans="1:9" ht="13" customHeight="1">
      <c r="A131" s="88" t="s">
        <v>965</v>
      </c>
      <c r="B131" s="88" t="s">
        <v>917</v>
      </c>
      <c r="C131" s="199"/>
      <c r="D131" s="200"/>
      <c r="E131" s="201"/>
      <c r="F131" s="201"/>
      <c r="G131" s="201"/>
      <c r="H131" s="184">
        <v>0.58994708994709</v>
      </c>
    </row>
    <row r="132" spans="1:9" ht="13" customHeight="1">
      <c r="A132" s="88" t="s">
        <v>966</v>
      </c>
      <c r="B132" s="2" t="s">
        <v>898</v>
      </c>
      <c r="C132" s="181">
        <v>2.0144393228809019E-3</v>
      </c>
      <c r="D132" s="182">
        <v>1.3800032856207263E-2</v>
      </c>
      <c r="E132" s="183">
        <v>4.6076814686326628</v>
      </c>
      <c r="F132" s="183">
        <v>0.27600065712414529</v>
      </c>
      <c r="G132" s="183">
        <v>-7.0013189868782906</v>
      </c>
      <c r="H132" s="184">
        <v>0.79064039408866993</v>
      </c>
    </row>
    <row r="133" spans="1:9" ht="13" customHeight="1">
      <c r="A133" s="88" t="s">
        <v>967</v>
      </c>
      <c r="B133" s="2" t="s">
        <v>917</v>
      </c>
      <c r="C133" s="181">
        <v>2.0148389633974856E-3</v>
      </c>
      <c r="D133" s="182">
        <v>1.0588488790453574E-2</v>
      </c>
      <c r="E133" s="183">
        <v>4.8069835415347484</v>
      </c>
      <c r="F133" s="183">
        <v>0.21176977580907147</v>
      </c>
      <c r="G133" s="183">
        <v>0.82049382240008129</v>
      </c>
      <c r="H133" s="184">
        <v>0.80200501253132839</v>
      </c>
    </row>
    <row r="134" spans="1:9" ht="13" customHeight="1">
      <c r="A134" s="88" t="s">
        <v>968</v>
      </c>
      <c r="B134" s="2" t="s">
        <v>898</v>
      </c>
      <c r="C134" s="181">
        <v>2.0148235833367359E-3</v>
      </c>
      <c r="D134" s="182">
        <v>1.176200799794189E-2</v>
      </c>
      <c r="E134" s="183">
        <v>4.7993134533892423</v>
      </c>
      <c r="F134" s="183">
        <v>0.23524015995883779</v>
      </c>
      <c r="G134" s="183">
        <v>0.46392006552276044</v>
      </c>
      <c r="H134" s="184">
        <v>0.54452554744525539</v>
      </c>
    </row>
    <row r="135" spans="1:9" ht="13" customHeight="1">
      <c r="A135" s="88" t="s">
        <v>969</v>
      </c>
      <c r="B135" s="2" t="s">
        <v>898</v>
      </c>
      <c r="C135" s="181">
        <v>2.0148756985450427E-3</v>
      </c>
      <c r="D135" s="182">
        <v>1.2183769454404535E-2</v>
      </c>
      <c r="E135" s="183">
        <v>4.8253034834644382</v>
      </c>
      <c r="F135" s="183">
        <v>0.24367538908809072</v>
      </c>
      <c r="G135" s="183">
        <v>-7.6454014204885734</v>
      </c>
      <c r="H135" s="184">
        <v>0.7612359550561798</v>
      </c>
    </row>
    <row r="136" spans="1:9" ht="13" customHeight="1">
      <c r="A136" s="88" t="s">
        <v>970</v>
      </c>
      <c r="B136" s="2" t="s">
        <v>917</v>
      </c>
      <c r="C136" s="181">
        <v>2.0139746977249949E-3</v>
      </c>
      <c r="D136" s="182">
        <v>9.9717348734731717E-3</v>
      </c>
      <c r="E136" s="183">
        <v>4.3759713370212783</v>
      </c>
      <c r="F136" s="183">
        <v>0.19943469746946343</v>
      </c>
      <c r="G136" s="183">
        <v>4.5807685020702094</v>
      </c>
      <c r="H136" s="184">
        <v>0.6387096774193548</v>
      </c>
    </row>
    <row r="137" spans="1:9" ht="13" customHeight="1">
      <c r="A137" s="88" t="s">
        <v>542</v>
      </c>
      <c r="B137" s="2" t="s">
        <v>917</v>
      </c>
      <c r="C137" s="181">
        <v>2.013246831409455E-3</v>
      </c>
      <c r="D137" s="182">
        <v>1.2200278749094219E-2</v>
      </c>
      <c r="E137" s="183">
        <v>4.0129819516532272</v>
      </c>
      <c r="F137" s="183">
        <v>0.24400557498188438</v>
      </c>
      <c r="G137" s="183">
        <v>6.0836744092173767</v>
      </c>
      <c r="H137" s="184">
        <v>0.73920863309352514</v>
      </c>
    </row>
    <row r="138" spans="1:9" ht="13" customHeight="1">
      <c r="A138" s="88" t="s">
        <v>543</v>
      </c>
      <c r="B138" s="2" t="s">
        <v>898</v>
      </c>
      <c r="C138" s="181">
        <v>2.0152207010179072E-3</v>
      </c>
      <c r="D138" s="182">
        <v>1.212770931641355E-2</v>
      </c>
      <c r="E138" s="183">
        <v>4.997357379766143</v>
      </c>
      <c r="F138" s="183">
        <v>0.242554186328271</v>
      </c>
      <c r="G138" s="183">
        <v>-10.138678585770277</v>
      </c>
      <c r="H138" s="184">
        <v>0.51366120218579236</v>
      </c>
    </row>
    <row r="139" spans="1:9" ht="13" customHeight="1">
      <c r="A139" s="88" t="s">
        <v>544</v>
      </c>
      <c r="B139" s="2" t="s">
        <v>898</v>
      </c>
      <c r="C139" s="181">
        <v>2.0145162412800979E-3</v>
      </c>
      <c r="D139" s="182">
        <v>1.1256655543974019E-2</v>
      </c>
      <c r="E139" s="183">
        <v>4.6460409336215314</v>
      </c>
      <c r="F139" s="183">
        <v>0.2251331108794804</v>
      </c>
      <c r="G139" s="183">
        <v>-8.1152088364407469</v>
      </c>
      <c r="H139" s="184">
        <v>0.8085808580858086</v>
      </c>
    </row>
    <row r="140" spans="1:9" ht="13" customHeight="1">
      <c r="A140" s="88" t="s">
        <v>545</v>
      </c>
      <c r="B140" s="88" t="s">
        <v>898</v>
      </c>
      <c r="C140" s="197">
        <v>2.0148398597454641E-3</v>
      </c>
      <c r="D140" s="198">
        <v>1.2250301940794153E-2</v>
      </c>
      <c r="E140" s="183">
        <v>4.807430553293468</v>
      </c>
      <c r="F140" s="183">
        <v>0.24500603881588306</v>
      </c>
      <c r="G140" s="183">
        <v>-13.400601296822733</v>
      </c>
      <c r="H140" s="184">
        <v>0.53024911032028466</v>
      </c>
    </row>
    <row r="141" spans="1:9" ht="13" customHeight="1">
      <c r="A141" s="88" t="s">
        <v>546</v>
      </c>
      <c r="B141" s="2" t="s">
        <v>917</v>
      </c>
      <c r="C141" s="181">
        <v>2.0141049398478741E-3</v>
      </c>
      <c r="D141" s="182">
        <v>1.3659792767567888E-2</v>
      </c>
      <c r="E141" s="183">
        <v>4.4409235227778066</v>
      </c>
      <c r="F141" s="183">
        <v>0.27319585535135776</v>
      </c>
      <c r="G141" s="183">
        <v>-2.4321632992668207</v>
      </c>
      <c r="H141" s="184">
        <v>0.60087719298245612</v>
      </c>
    </row>
    <row r="142" spans="1:9" ht="13" customHeight="1">
      <c r="A142" s="88" t="s">
        <v>547</v>
      </c>
      <c r="B142" s="88" t="s">
        <v>898</v>
      </c>
      <c r="C142" s="197">
        <v>2.0141661739881164E-3</v>
      </c>
      <c r="D142" s="198">
        <v>1.3133262660013315E-2</v>
      </c>
      <c r="E142" s="183">
        <v>4.4714611949514538</v>
      </c>
      <c r="F142" s="183">
        <v>0.26266525320026629</v>
      </c>
      <c r="G142" s="183">
        <v>-10.497476388812588</v>
      </c>
      <c r="H142" s="184">
        <v>0.84463276836158196</v>
      </c>
      <c r="I142" s="184"/>
    </row>
    <row r="143" spans="1:9" ht="13" customHeight="1">
      <c r="A143" s="88" t="s">
        <v>548</v>
      </c>
      <c r="B143" s="2" t="s">
        <v>917</v>
      </c>
      <c r="C143" s="181">
        <v>2.0138833296243215E-3</v>
      </c>
      <c r="D143" s="182">
        <v>1.229955906536897E-2</v>
      </c>
      <c r="E143" s="183">
        <v>4.3304057571920129</v>
      </c>
      <c r="F143" s="183">
        <v>0.2459911813073794</v>
      </c>
      <c r="G143" s="183">
        <v>14.43282808303028</v>
      </c>
      <c r="H143" s="184">
        <v>0.71030042918454939</v>
      </c>
      <c r="I143" s="184"/>
    </row>
    <row r="144" spans="1:9" s="29" customFormat="1" ht="13" customHeight="1">
      <c r="A144" s="29" t="s">
        <v>281</v>
      </c>
      <c r="C144" s="186">
        <f>AVERAGE(C128:C143)</f>
        <v>2.0144349397381118E-3</v>
      </c>
      <c r="D144" s="187">
        <f t="shared" ref="D144:G144" si="7">AVERAGE(D128:D143)</f>
        <v>1.1952528361096258E-2</v>
      </c>
      <c r="E144" s="188">
        <f t="shared" si="7"/>
        <v>4.6054955805464663</v>
      </c>
      <c r="F144" s="186"/>
      <c r="G144" s="188">
        <f t="shared" si="7"/>
        <v>-3.8543265633886388</v>
      </c>
      <c r="I144" s="188">
        <f>AVERAGE(E110:E119,E121,E124,E128:E143)</f>
        <v>4.7063472720716346</v>
      </c>
    </row>
    <row r="145" spans="1:9" s="29" customFormat="1" ht="13" customHeight="1">
      <c r="A145" s="29" t="s">
        <v>204</v>
      </c>
      <c r="C145" s="186">
        <f>_xlfn.STDEV.S(C128:C143)</f>
        <v>5.1123249995376356E-7</v>
      </c>
      <c r="D145" s="187">
        <f>_xlfn.STDEV.S(D128:D143)</f>
        <v>1.0516160365857349E-3</v>
      </c>
      <c r="E145" s="188">
        <f>_xlfn.STDEV.S(E128:E143)</f>
        <v>0.25495337121171152</v>
      </c>
      <c r="F145" s="186"/>
      <c r="G145" s="188">
        <f>_xlfn.STDEV.S(G128:G143)</f>
        <v>7.8732345633644201</v>
      </c>
      <c r="I145" s="188">
        <f>_xlfn.STDEV.S(E110:E119,E121,E124,E128:E143)</f>
        <v>0.23407137348713802</v>
      </c>
    </row>
    <row r="146" spans="1:9" s="29" customFormat="1" ht="13" customHeight="1">
      <c r="C146" s="186"/>
      <c r="D146" s="187"/>
      <c r="E146" s="188"/>
      <c r="F146" s="186"/>
      <c r="G146" s="188"/>
    </row>
    <row r="148" spans="1:9" ht="13" customHeight="1">
      <c r="A148" s="202" t="s">
        <v>971</v>
      </c>
      <c r="B148" s="203" t="s">
        <v>891</v>
      </c>
      <c r="C148" s="204" t="s">
        <v>972</v>
      </c>
      <c r="D148" s="178" t="s">
        <v>973</v>
      </c>
      <c r="E148" s="2">
        <f>COUNT(D154:D195)</f>
        <v>42</v>
      </c>
      <c r="F148" s="2"/>
    </row>
    <row r="149" spans="1:9" ht="13" customHeight="1">
      <c r="A149" s="205" t="s">
        <v>974</v>
      </c>
      <c r="B149" s="2">
        <v>2.0149653239999996E-3</v>
      </c>
      <c r="C149" s="206">
        <f>1000*(B149/0.0020052-1)</f>
        <v>4.8699999999999299</v>
      </c>
      <c r="D149" s="178"/>
      <c r="E149" s="2"/>
      <c r="F149" s="2"/>
    </row>
    <row r="150" spans="1:9" ht="13" customHeight="1">
      <c r="A150" s="207" t="s">
        <v>975</v>
      </c>
      <c r="B150" s="208">
        <v>2.0216426999999999E-3</v>
      </c>
      <c r="C150" s="209">
        <f>1000*(B150/0.0020052-1)</f>
        <v>8.2000299222022566</v>
      </c>
      <c r="E150" s="2"/>
      <c r="F150" s="2"/>
    </row>
    <row r="151" spans="1:9" ht="13" customHeight="1">
      <c r="E151" s="2"/>
      <c r="F151" s="2"/>
    </row>
    <row r="152" spans="1:9" s="29" customFormat="1" ht="13" customHeight="1">
      <c r="A152" s="210" t="s">
        <v>976</v>
      </c>
      <c r="B152" s="210" t="s">
        <v>220</v>
      </c>
      <c r="C152" s="179" t="s">
        <v>977</v>
      </c>
      <c r="D152" s="210" t="s">
        <v>892</v>
      </c>
      <c r="E152" s="210" t="s">
        <v>978</v>
      </c>
      <c r="F152" s="210" t="s">
        <v>894</v>
      </c>
      <c r="G152" s="210" t="s">
        <v>895</v>
      </c>
    </row>
    <row r="153" spans="1:9" ht="13" customHeight="1">
      <c r="A153" s="178"/>
      <c r="B153" s="211"/>
      <c r="C153" s="212"/>
      <c r="D153" s="211"/>
      <c r="E153" s="211"/>
      <c r="F153" s="211"/>
      <c r="G153" s="211"/>
    </row>
    <row r="154" spans="1:9" ht="13" customHeight="1">
      <c r="A154" s="2" t="s">
        <v>979</v>
      </c>
      <c r="B154" s="2" t="s">
        <v>917</v>
      </c>
      <c r="C154" s="181">
        <v>2.0219006085807792E-3</v>
      </c>
      <c r="D154" s="182">
        <v>1.1620355082784689E-2</v>
      </c>
      <c r="E154" s="184">
        <v>8.3286498009071952</v>
      </c>
      <c r="F154" s="184">
        <v>0.23240710165569378</v>
      </c>
      <c r="G154" s="183">
        <v>0.75751345166190642</v>
      </c>
    </row>
    <row r="155" spans="1:9" ht="13" customHeight="1">
      <c r="A155" s="2" t="s">
        <v>980</v>
      </c>
      <c r="B155" s="2" t="s">
        <v>917</v>
      </c>
      <c r="C155" s="181">
        <v>2.0215699103639934E-3</v>
      </c>
      <c r="D155" s="182">
        <v>1.070256003746884E-2</v>
      </c>
      <c r="E155" s="184">
        <v>8.1637294853347253</v>
      </c>
      <c r="F155" s="184">
        <v>0.21405120074937681</v>
      </c>
      <c r="G155" s="183">
        <v>0.87646191212864544</v>
      </c>
    </row>
    <row r="156" spans="1:9" ht="13" customHeight="1">
      <c r="A156" s="2" t="s">
        <v>981</v>
      </c>
      <c r="B156" s="2" t="s">
        <v>917</v>
      </c>
      <c r="C156" s="181">
        <v>2.0216475415164008E-3</v>
      </c>
      <c r="D156" s="182">
        <v>1.1813151801631942E-2</v>
      </c>
      <c r="E156" s="184">
        <v>8.2024444027533061</v>
      </c>
      <c r="F156" s="184">
        <v>0.23626303603263885</v>
      </c>
      <c r="G156" s="183">
        <v>14.389078608239569</v>
      </c>
    </row>
    <row r="157" spans="1:9" ht="13" customHeight="1">
      <c r="A157" s="2" t="s">
        <v>982</v>
      </c>
      <c r="B157" s="2" t="s">
        <v>917</v>
      </c>
      <c r="C157" s="181">
        <v>2.021671129075826E-3</v>
      </c>
      <c r="D157" s="182">
        <v>1.0666355445885017E-2</v>
      </c>
      <c r="E157" s="184">
        <v>8.214207598157941</v>
      </c>
      <c r="F157" s="184">
        <v>0.21332710891770035</v>
      </c>
      <c r="G157" s="183">
        <v>-0.75751345166191753</v>
      </c>
    </row>
    <row r="158" spans="1:9" ht="13" customHeight="1">
      <c r="A158" s="2" t="s">
        <v>983</v>
      </c>
      <c r="B158" s="2" t="s">
        <v>917</v>
      </c>
      <c r="C158" s="181">
        <v>2.0214310725060543E-3</v>
      </c>
      <c r="D158" s="182">
        <v>1.217373345136569E-2</v>
      </c>
      <c r="E158" s="184">
        <v>8.0944905775255371</v>
      </c>
      <c r="F158" s="184">
        <v>0.24347466902731379</v>
      </c>
      <c r="G158" s="183">
        <v>-1.2197057461412752</v>
      </c>
    </row>
    <row r="159" spans="1:9" ht="13" customHeight="1">
      <c r="A159" s="2" t="s">
        <v>984</v>
      </c>
      <c r="B159" s="2" t="s">
        <v>917</v>
      </c>
      <c r="C159" s="181">
        <v>2.021344713512967E-3</v>
      </c>
      <c r="D159" s="182">
        <v>1.3014257489768673E-2</v>
      </c>
      <c r="E159" s="184">
        <v>8.0514230565364997</v>
      </c>
      <c r="F159" s="184">
        <v>0.26028514979537348</v>
      </c>
      <c r="G159" s="183">
        <v>27.951676110061573</v>
      </c>
    </row>
    <row r="160" spans="1:9" ht="13" customHeight="1">
      <c r="A160" s="2" t="s">
        <v>985</v>
      </c>
      <c r="B160" s="2" t="s">
        <v>917</v>
      </c>
      <c r="C160" s="181">
        <v>2.0218266708054685E-3</v>
      </c>
      <c r="D160" s="182">
        <v>1.5259166074841705E-2</v>
      </c>
      <c r="E160" s="184">
        <v>8.2917767830981148</v>
      </c>
      <c r="F160" s="184">
        <v>0.30518332149683408</v>
      </c>
      <c r="G160" s="183">
        <v>-3.8862435560432118</v>
      </c>
    </row>
    <row r="161" spans="1:7" ht="13" customHeight="1">
      <c r="A161" s="2" t="s">
        <v>986</v>
      </c>
      <c r="B161" s="2" t="s">
        <v>917</v>
      </c>
      <c r="C161" s="181">
        <v>2.0217651897463185E-3</v>
      </c>
      <c r="D161" s="182">
        <v>1.1958193946114941E-2</v>
      </c>
      <c r="E161" s="184">
        <v>8.2611159716330373</v>
      </c>
      <c r="F161" s="184">
        <v>0.23916387892229882</v>
      </c>
      <c r="G161" s="183">
        <v>10.101597539161178</v>
      </c>
    </row>
    <row r="162" spans="1:7" ht="13" customHeight="1">
      <c r="A162" s="2" t="s">
        <v>987</v>
      </c>
      <c r="B162" s="2" t="s">
        <v>917</v>
      </c>
      <c r="C162" s="181">
        <v>2.0214426300933616E-3</v>
      </c>
      <c r="D162" s="182">
        <v>1.2657246996863101E-2</v>
      </c>
      <c r="E162" s="184">
        <v>8.1002543852790598</v>
      </c>
      <c r="F162" s="184">
        <v>0.253144939937262</v>
      </c>
      <c r="G162" s="183">
        <v>9.0717684183621259</v>
      </c>
    </row>
    <row r="163" spans="1:7" ht="13" customHeight="1">
      <c r="A163" s="2" t="s">
        <v>988</v>
      </c>
      <c r="B163" s="2" t="s">
        <v>917</v>
      </c>
      <c r="C163" s="181">
        <v>2.0213290766285881E-3</v>
      </c>
      <c r="D163" s="182">
        <v>1.2752969926036839E-2</v>
      </c>
      <c r="E163" s="184">
        <v>8.0436248895812135</v>
      </c>
      <c r="F163" s="184">
        <v>0.25505939852073678</v>
      </c>
      <c r="G163" s="183">
        <v>-3.8848443537999988</v>
      </c>
    </row>
    <row r="164" spans="1:7" ht="13" customHeight="1">
      <c r="A164" s="2" t="s">
        <v>989</v>
      </c>
      <c r="B164" s="2" t="s">
        <v>917</v>
      </c>
      <c r="C164" s="181">
        <v>2.0218418862714962E-3</v>
      </c>
      <c r="D164" s="182">
        <v>9.8722924767551332E-3</v>
      </c>
      <c r="E164" s="184">
        <v>8.299364787301089</v>
      </c>
      <c r="F164" s="184">
        <v>0.19744584953510266</v>
      </c>
      <c r="G164" s="183">
        <v>-4.4607950446113653</v>
      </c>
    </row>
    <row r="165" spans="1:7" ht="13" customHeight="1">
      <c r="A165" s="213" t="s">
        <v>990</v>
      </c>
      <c r="B165" s="2" t="s">
        <v>917</v>
      </c>
      <c r="C165" s="181">
        <v>2.0217663634832673E-3</v>
      </c>
      <c r="D165" s="182">
        <v>1.2967200292183354E-2</v>
      </c>
      <c r="E165" s="184">
        <v>8.2617013182062493</v>
      </c>
      <c r="F165" s="184">
        <v>0.25934400584366707</v>
      </c>
      <c r="G165" s="183">
        <v>-6.0789561690948846</v>
      </c>
    </row>
    <row r="166" spans="1:7" ht="13" customHeight="1">
      <c r="A166" s="2" t="s">
        <v>991</v>
      </c>
      <c r="B166" s="2" t="s">
        <v>917</v>
      </c>
      <c r="C166" s="181">
        <v>2.021505706562305E-3</v>
      </c>
      <c r="D166" s="182">
        <v>1.1063203991771822E-2</v>
      </c>
      <c r="E166" s="184">
        <v>8.1317108329868049</v>
      </c>
      <c r="F166" s="184">
        <v>0.22126407983543644</v>
      </c>
      <c r="G166" s="183">
        <v>-1.1581896568204297</v>
      </c>
    </row>
    <row r="167" spans="1:7" ht="13" customHeight="1">
      <c r="A167" s="2" t="s">
        <v>992</v>
      </c>
      <c r="B167" s="2" t="s">
        <v>917</v>
      </c>
      <c r="C167" s="181">
        <v>2.0213020956561579E-3</v>
      </c>
      <c r="D167" s="182">
        <v>1.0677865785115676E-2</v>
      </c>
      <c r="E167" s="184">
        <v>8.0301693876709823</v>
      </c>
      <c r="F167" s="184">
        <v>0.21355731570231351</v>
      </c>
      <c r="G167" s="183">
        <v>10.994028253635335</v>
      </c>
    </row>
    <row r="168" spans="1:7" ht="13" customHeight="1">
      <c r="A168" s="2" t="s">
        <v>993</v>
      </c>
      <c r="B168" s="2" t="s">
        <v>917</v>
      </c>
      <c r="C168" s="181">
        <v>2.0217678825706141E-3</v>
      </c>
      <c r="D168" s="182">
        <v>1.077210190469107E-2</v>
      </c>
      <c r="E168" s="184">
        <v>8.2624588921873521</v>
      </c>
      <c r="F168" s="184">
        <v>0.2154420380938214</v>
      </c>
      <c r="G168" s="183">
        <v>9.1282896810705552</v>
      </c>
    </row>
    <row r="169" spans="1:7" ht="13" customHeight="1">
      <c r="A169" s="2" t="s">
        <v>994</v>
      </c>
      <c r="B169" s="2" t="s">
        <v>917</v>
      </c>
      <c r="C169" s="181">
        <v>2.0218043282342478E-3</v>
      </c>
      <c r="D169" s="182">
        <v>1.1117416904636121E-2</v>
      </c>
      <c r="E169" s="184">
        <v>8.2806344675083743</v>
      </c>
      <c r="F169" s="184">
        <v>0.22234833809272242</v>
      </c>
      <c r="G169" s="183">
        <v>-6.457131249807313</v>
      </c>
    </row>
    <row r="170" spans="1:7" ht="13" customHeight="1">
      <c r="A170" s="2" t="s">
        <v>987</v>
      </c>
      <c r="B170" s="2" t="s">
        <v>898</v>
      </c>
      <c r="C170" s="181">
        <v>2.0216886629598149E-3</v>
      </c>
      <c r="D170" s="182">
        <v>1.2145261485442626E-2</v>
      </c>
      <c r="E170" s="184">
        <v>8.2229518052139294</v>
      </c>
      <c r="F170" s="184">
        <v>0.24290522970885253</v>
      </c>
      <c r="G170" s="183">
        <v>-17.189961343405212</v>
      </c>
    </row>
    <row r="171" spans="1:7" ht="13" customHeight="1">
      <c r="A171" s="2" t="s">
        <v>988</v>
      </c>
      <c r="B171" s="2" t="s">
        <v>898</v>
      </c>
      <c r="C171" s="181">
        <v>2.0217969947574207E-3</v>
      </c>
      <c r="D171" s="182">
        <v>1.1853157779026187E-2</v>
      </c>
      <c r="E171" s="184">
        <v>8.2769772378918915</v>
      </c>
      <c r="F171" s="184">
        <v>0.23706315558052374</v>
      </c>
      <c r="G171" s="183">
        <v>-1.0092713176000356</v>
      </c>
    </row>
    <row r="172" spans="1:7" ht="13" customHeight="1">
      <c r="A172" s="2" t="s">
        <v>989</v>
      </c>
      <c r="B172" s="2" t="s">
        <v>898</v>
      </c>
      <c r="C172" s="181">
        <v>2.0221412768707246E-3</v>
      </c>
      <c r="D172" s="182">
        <v>1.4535711715031362E-2</v>
      </c>
      <c r="E172" s="184">
        <v>8.4486718884524414</v>
      </c>
      <c r="F172" s="184">
        <v>0.29071423430062726</v>
      </c>
      <c r="G172" s="183">
        <v>-1.0197866921638266</v>
      </c>
    </row>
    <row r="173" spans="1:7" ht="13" customHeight="1">
      <c r="A173" s="2" t="s">
        <v>990</v>
      </c>
      <c r="B173" s="2" t="s">
        <v>898</v>
      </c>
      <c r="C173" s="181">
        <v>2.0221890607722594E-3</v>
      </c>
      <c r="D173" s="182">
        <v>1.1731107411811086E-2</v>
      </c>
      <c r="E173" s="184">
        <v>8.4725018812386033</v>
      </c>
      <c r="F173" s="184">
        <v>0.23462214823622174</v>
      </c>
      <c r="G173" s="183">
        <v>6.3305545773913341</v>
      </c>
    </row>
    <row r="174" spans="1:7" ht="13" customHeight="1">
      <c r="A174" s="2" t="s">
        <v>991</v>
      </c>
      <c r="B174" s="2" t="s">
        <v>898</v>
      </c>
      <c r="C174" s="181">
        <v>2.0216910165877077E-3</v>
      </c>
      <c r="D174" s="182">
        <v>1.1581634997160332E-2</v>
      </c>
      <c r="E174" s="184">
        <v>8.2241255673787261</v>
      </c>
      <c r="F174" s="184">
        <v>0.23163269994320665</v>
      </c>
      <c r="G174" s="183">
        <v>12.172915574922595</v>
      </c>
    </row>
    <row r="175" spans="1:7" ht="13" customHeight="1">
      <c r="A175" s="2" t="s">
        <v>992</v>
      </c>
      <c r="B175" s="2" t="s">
        <v>898</v>
      </c>
      <c r="C175" s="181">
        <v>2.0216702501543145E-3</v>
      </c>
      <c r="D175" s="182">
        <v>1.1349134471993712E-2</v>
      </c>
      <c r="E175" s="184">
        <v>8.2137692770369863</v>
      </c>
      <c r="F175" s="184">
        <v>0.22698268943987424</v>
      </c>
      <c r="G175" s="183">
        <v>-12.699786213619834</v>
      </c>
    </row>
    <row r="176" spans="1:7" ht="13" customHeight="1">
      <c r="A176" s="2" t="s">
        <v>993</v>
      </c>
      <c r="B176" s="2" t="s">
        <v>898</v>
      </c>
      <c r="C176" s="197">
        <v>2.0210735519107124E-3</v>
      </c>
      <c r="D176" s="198">
        <v>1.2175841653150554E-2</v>
      </c>
      <c r="E176" s="183">
        <v>7.9161938513427899</v>
      </c>
      <c r="F176" s="183">
        <v>0.24351683306301108</v>
      </c>
      <c r="G176" s="183">
        <v>8.33285190338513</v>
      </c>
    </row>
    <row r="177" spans="1:7" ht="13" customHeight="1">
      <c r="A177" s="2" t="s">
        <v>993</v>
      </c>
      <c r="B177" s="2" t="s">
        <v>898</v>
      </c>
      <c r="C177" s="181">
        <v>2.0217514464681984E-3</v>
      </c>
      <c r="D177" s="182">
        <v>1.2647930925706742E-2</v>
      </c>
      <c r="E177" s="184">
        <v>8.2542621525028004</v>
      </c>
      <c r="F177" s="184">
        <v>0.25295861851413481</v>
      </c>
      <c r="G177" s="183">
        <v>2.8526416651567743</v>
      </c>
    </row>
    <row r="178" spans="1:7" ht="13" customHeight="1">
      <c r="A178" s="2" t="s">
        <v>994</v>
      </c>
      <c r="B178" s="2" t="s">
        <v>898</v>
      </c>
      <c r="C178" s="181">
        <v>2.0212513984045099E-3</v>
      </c>
      <c r="D178" s="182">
        <v>1.0738822233653047E-2</v>
      </c>
      <c r="E178" s="184">
        <v>8.0048864973618628</v>
      </c>
      <c r="F178" s="184">
        <v>0.21477644467306095</v>
      </c>
      <c r="G178" s="183">
        <v>3.0501669945375065</v>
      </c>
    </row>
    <row r="179" spans="1:7" ht="13" customHeight="1">
      <c r="A179" s="2" t="s">
        <v>995</v>
      </c>
      <c r="B179" s="2" t="s">
        <v>898</v>
      </c>
      <c r="C179" s="181">
        <v>2.0216077369176544E-3</v>
      </c>
      <c r="D179" s="182">
        <v>1.1899674365807199E-2</v>
      </c>
      <c r="E179" s="184">
        <v>8.1825937151678296</v>
      </c>
      <c r="F179" s="184">
        <v>0.237993487316144</v>
      </c>
      <c r="G179" s="183">
        <v>-19.054472631140339</v>
      </c>
    </row>
    <row r="180" spans="1:7" ht="13" customHeight="1">
      <c r="A180" s="2" t="s">
        <v>996</v>
      </c>
      <c r="B180" s="2" t="s">
        <v>898</v>
      </c>
      <c r="C180" s="181">
        <v>2.0216312033104161E-3</v>
      </c>
      <c r="D180" s="182">
        <v>1.3809003066478042E-2</v>
      </c>
      <c r="E180" s="184">
        <v>8.1942964843486621</v>
      </c>
      <c r="F180" s="184">
        <v>0.27618006132956086</v>
      </c>
      <c r="G180" s="183">
        <v>-15.10906631502078</v>
      </c>
    </row>
    <row r="181" spans="1:7" ht="13" customHeight="1">
      <c r="A181" s="2" t="s">
        <v>997</v>
      </c>
      <c r="B181" s="2" t="s">
        <v>898</v>
      </c>
      <c r="C181" s="181">
        <v>2.0218673245038896E-3</v>
      </c>
      <c r="D181" s="182">
        <v>1.4018006151461055E-2</v>
      </c>
      <c r="E181" s="184">
        <v>8.3120509195540038</v>
      </c>
      <c r="F181" s="184">
        <v>0.28036012302922109</v>
      </c>
      <c r="G181" s="183">
        <v>-8.1590176499302771</v>
      </c>
    </row>
    <row r="182" spans="1:7" ht="13" customHeight="1">
      <c r="A182" s="2" t="s">
        <v>998</v>
      </c>
      <c r="B182" s="2" t="s">
        <v>898</v>
      </c>
      <c r="C182" s="181">
        <v>2.0215307006955043E-3</v>
      </c>
      <c r="D182" s="182">
        <v>1.2850340852663636E-2</v>
      </c>
      <c r="E182" s="184">
        <v>8.1441754914743925</v>
      </c>
      <c r="F182" s="184">
        <v>0.25700681705327272</v>
      </c>
      <c r="G182" s="183">
        <v>-2.7683455112809785</v>
      </c>
    </row>
    <row r="183" spans="1:7" ht="13" customHeight="1">
      <c r="A183" s="2" t="s">
        <v>999</v>
      </c>
      <c r="B183" s="2" t="s">
        <v>898</v>
      </c>
      <c r="C183" s="181">
        <v>2.0218549976770252E-3</v>
      </c>
      <c r="D183" s="182">
        <v>1.1425032306479488E-2</v>
      </c>
      <c r="E183" s="184">
        <v>8.3059034894401584</v>
      </c>
      <c r="F183" s="184">
        <v>0.22850064612958976</v>
      </c>
      <c r="G183" s="183">
        <v>9.8126390079783086</v>
      </c>
    </row>
    <row r="184" spans="1:7" ht="13" customHeight="1">
      <c r="A184" s="2" t="s">
        <v>1000</v>
      </c>
      <c r="B184" s="2" t="s">
        <v>898</v>
      </c>
      <c r="C184" s="181">
        <v>2.0218249880266381E-3</v>
      </c>
      <c r="D184" s="182">
        <v>1.4604537699715113E-2</v>
      </c>
      <c r="E184" s="184">
        <v>8.2909375756223813</v>
      </c>
      <c r="F184" s="184">
        <v>0.29209075399430229</v>
      </c>
      <c r="G184" s="183">
        <v>-1.4624084017213157</v>
      </c>
    </row>
    <row r="185" spans="1:7" ht="13" customHeight="1">
      <c r="A185" s="2" t="s">
        <v>1001</v>
      </c>
      <c r="B185" s="2" t="s">
        <v>898</v>
      </c>
      <c r="C185" s="181">
        <v>2.0221753617176205E-3</v>
      </c>
      <c r="D185" s="182">
        <v>1.1433595275807562E-2</v>
      </c>
      <c r="E185" s="184">
        <v>8.46567011650734</v>
      </c>
      <c r="F185" s="184">
        <v>0.22867190551615124</v>
      </c>
      <c r="G185" s="183">
        <v>-13.882230638369819</v>
      </c>
    </row>
    <row r="186" spans="1:7" ht="13" customHeight="1">
      <c r="A186" s="2" t="s">
        <v>1002</v>
      </c>
      <c r="B186" s="2" t="s">
        <v>898</v>
      </c>
      <c r="C186" s="181">
        <v>2.0216191311770012E-3</v>
      </c>
      <c r="D186" s="182">
        <v>1.3511676192700888E-2</v>
      </c>
      <c r="E186" s="184">
        <v>8.1882760707168156</v>
      </c>
      <c r="F186" s="184">
        <v>0.27023352385401778</v>
      </c>
      <c r="G186" s="183">
        <v>-9.2759928489156263</v>
      </c>
    </row>
    <row r="187" spans="1:7" ht="13" customHeight="1">
      <c r="A187" s="2" t="s">
        <v>1003</v>
      </c>
      <c r="B187" s="2" t="s">
        <v>898</v>
      </c>
      <c r="C187" s="181">
        <v>2.0218028451548021E-3</v>
      </c>
      <c r="D187" s="182">
        <v>1.327550042269217E-2</v>
      </c>
      <c r="E187" s="184">
        <v>8.2798948507889492</v>
      </c>
      <c r="F187" s="184">
        <v>0.26551000845384343</v>
      </c>
      <c r="G187" s="183">
        <v>-9.6599456947018432</v>
      </c>
    </row>
    <row r="188" spans="1:7" ht="13" customHeight="1">
      <c r="A188" s="2" t="s">
        <v>1004</v>
      </c>
      <c r="B188" s="2" t="s">
        <v>898</v>
      </c>
      <c r="C188" s="181">
        <v>2.0219498619625412E-3</v>
      </c>
      <c r="D188" s="182">
        <v>1.2639257673281293E-2</v>
      </c>
      <c r="E188" s="184">
        <v>8.3532126284366903</v>
      </c>
      <c r="F188" s="184">
        <v>0.25278515346562586</v>
      </c>
      <c r="G188" s="183">
        <v>5.6222307611541344</v>
      </c>
    </row>
    <row r="189" spans="1:7" ht="13" customHeight="1">
      <c r="A189" s="2" t="s">
        <v>1005</v>
      </c>
      <c r="B189" s="2" t="s">
        <v>898</v>
      </c>
      <c r="C189" s="181">
        <v>2.0220457498550609E-3</v>
      </c>
      <c r="D189" s="182">
        <v>1.1584797470622611E-2</v>
      </c>
      <c r="E189" s="184">
        <v>8.4010322436969265</v>
      </c>
      <c r="F189" s="184">
        <v>0.23169594941245222</v>
      </c>
      <c r="G189" s="183">
        <v>2.4583780853297599</v>
      </c>
    </row>
    <row r="190" spans="1:7" ht="13" customHeight="1">
      <c r="A190" s="2" t="s">
        <v>1006</v>
      </c>
      <c r="B190" s="2" t="s">
        <v>898</v>
      </c>
      <c r="C190" s="181">
        <v>2.0217025001415742E-3</v>
      </c>
      <c r="D190" s="182">
        <v>1.0145851004196937E-2</v>
      </c>
      <c r="E190" s="184">
        <v>8.2298524544057727</v>
      </c>
      <c r="F190" s="184">
        <v>0.20291702008393875</v>
      </c>
      <c r="G190" s="183">
        <v>10.114137464595219</v>
      </c>
    </row>
    <row r="191" spans="1:7" ht="13" customHeight="1">
      <c r="A191" s="2" t="s">
        <v>1007</v>
      </c>
      <c r="B191" s="2" t="s">
        <v>898</v>
      </c>
      <c r="C191" s="181">
        <v>2.0218561856498425E-3</v>
      </c>
      <c r="D191" s="182">
        <v>1.1405141375381588E-2</v>
      </c>
      <c r="E191" s="184">
        <v>8.3064959354890444</v>
      </c>
      <c r="F191" s="184">
        <v>0.22810282750763175</v>
      </c>
      <c r="G191" s="183">
        <v>3.66101895553681</v>
      </c>
    </row>
    <row r="192" spans="1:7" ht="13" customHeight="1">
      <c r="A192" s="2" t="s">
        <v>1008</v>
      </c>
      <c r="B192" s="2" t="s">
        <v>898</v>
      </c>
      <c r="C192" s="181">
        <v>2.0217252113458907E-3</v>
      </c>
      <c r="D192" s="182">
        <v>1.3183892481357696E-2</v>
      </c>
      <c r="E192" s="184">
        <v>8.2411786085632155</v>
      </c>
      <c r="F192" s="184">
        <v>0.2636778496271539</v>
      </c>
      <c r="G192" s="183">
        <v>16.172315505943004</v>
      </c>
    </row>
    <row r="193" spans="1:7" ht="13" customHeight="1">
      <c r="A193" s="2" t="s">
        <v>1009</v>
      </c>
      <c r="B193" s="2" t="s">
        <v>898</v>
      </c>
      <c r="C193" s="181">
        <v>2.0221464050653778E-3</v>
      </c>
      <c r="D193" s="182">
        <v>1.2609057944555415E-2</v>
      </c>
      <c r="E193" s="184">
        <v>8.4512293364142899</v>
      </c>
      <c r="F193" s="184">
        <v>0.25218115889110831</v>
      </c>
      <c r="G193" s="183">
        <v>9.5924615468651275</v>
      </c>
    </row>
    <row r="194" spans="1:7" ht="13" customHeight="1">
      <c r="A194" s="2" t="s">
        <v>1010</v>
      </c>
      <c r="B194" s="2" t="s">
        <v>898</v>
      </c>
      <c r="C194" s="181">
        <v>2.0218293235660734E-3</v>
      </c>
      <c r="D194" s="182">
        <v>1.2949578495704019E-2</v>
      </c>
      <c r="E194" s="184">
        <v>8.2930997237549153</v>
      </c>
      <c r="F194" s="184">
        <v>0.2589915699140804</v>
      </c>
      <c r="G194" s="183">
        <v>1.0092713176000467</v>
      </c>
    </row>
    <row r="195" spans="1:7" ht="13" customHeight="1">
      <c r="A195" s="2" t="s">
        <v>1011</v>
      </c>
      <c r="B195" s="2" t="s">
        <v>898</v>
      </c>
      <c r="C195" s="181">
        <v>2.0215506918189138E-3</v>
      </c>
      <c r="D195" s="182">
        <v>1.2130115688830011E-2</v>
      </c>
      <c r="E195" s="184">
        <v>8.1541451321134328</v>
      </c>
      <c r="F195" s="184">
        <v>0.24260231377660021</v>
      </c>
      <c r="G195" s="183">
        <v>3.9192910370756673</v>
      </c>
    </row>
    <row r="196" spans="1:7" ht="13" customHeight="1"/>
    <row r="197" spans="1:7" ht="13" customHeight="1">
      <c r="A197" s="2" t="s">
        <v>1351</v>
      </c>
    </row>
    <row r="198" spans="1:7" ht="13" customHeight="1"/>
    <row r="199" spans="1:7" ht="13" customHeight="1"/>
    <row r="200" spans="1:7" ht="13" customHeight="1"/>
  </sheetData>
  <hyperlinks>
    <hyperlink ref="A165" r:id="rId1" xr:uid="{FEB169F6-24B0-7340-9B19-A0A7C7642460}"/>
  </hyperlinks>
  <pageMargins left="0.7" right="0.7" top="0.75" bottom="0.75" header="0.3" footer="0.3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C8FC-32B0-9D41-9455-E71E5B17E3C3}">
  <dimension ref="A1:AJ155"/>
  <sheetViews>
    <sheetView topLeftCell="A119" workbookViewId="0">
      <selection activeCell="E162" sqref="E162"/>
    </sheetView>
  </sheetViews>
  <sheetFormatPr baseColWidth="10" defaultColWidth="8.83203125" defaultRowHeight="13"/>
  <cols>
    <col min="1" max="1" width="22.5" style="3" customWidth="1"/>
    <col min="2" max="2" width="10.33203125" style="3" customWidth="1"/>
    <col min="3" max="3" width="12.6640625" style="3" customWidth="1"/>
    <col min="4" max="4" width="9.33203125" style="3" customWidth="1"/>
    <col min="5" max="5" width="16.33203125" style="3" customWidth="1"/>
    <col min="6" max="15" width="9.33203125" style="3" customWidth="1"/>
    <col min="16" max="16" width="10.6640625" style="3" bestFit="1" customWidth="1"/>
    <col min="17" max="29" width="8.83203125" style="3"/>
    <col min="30" max="33" width="8.83203125" style="98"/>
    <col min="34" max="34" width="8.83203125" style="3"/>
    <col min="35" max="35" width="9.6640625" style="3" bestFit="1" customWidth="1"/>
    <col min="36" max="16384" width="8.83203125" style="3"/>
  </cols>
  <sheetData>
    <row r="1" spans="1:36" ht="14" customHeight="1">
      <c r="A1" s="214" t="s">
        <v>1350</v>
      </c>
    </row>
    <row r="2" spans="1:36" ht="14" customHeight="1">
      <c r="A2" s="34" t="s">
        <v>1012</v>
      </c>
      <c r="B2" s="34" t="s">
        <v>91</v>
      </c>
      <c r="C2" s="34" t="s">
        <v>0</v>
      </c>
      <c r="D2" s="34" t="s">
        <v>1013</v>
      </c>
      <c r="E2" s="34" t="s">
        <v>1014</v>
      </c>
      <c r="F2" s="34" t="s">
        <v>1015</v>
      </c>
      <c r="G2" s="34" t="s">
        <v>1016</v>
      </c>
      <c r="H2" s="34" t="s">
        <v>117</v>
      </c>
      <c r="I2" s="34" t="s">
        <v>111</v>
      </c>
      <c r="J2" s="34" t="s">
        <v>3</v>
      </c>
      <c r="K2" s="34" t="s">
        <v>1</v>
      </c>
      <c r="L2" s="34" t="s">
        <v>1017</v>
      </c>
      <c r="M2" s="34" t="s">
        <v>115</v>
      </c>
      <c r="N2" s="34" t="s">
        <v>116</v>
      </c>
      <c r="O2" s="34" t="s">
        <v>1018</v>
      </c>
      <c r="P2" s="34" t="s">
        <v>1019</v>
      </c>
      <c r="Q2" s="34" t="s">
        <v>1020</v>
      </c>
      <c r="R2" s="34" t="s">
        <v>1021</v>
      </c>
      <c r="S2" s="34" t="s">
        <v>1022</v>
      </c>
      <c r="T2" s="34" t="s">
        <v>72</v>
      </c>
      <c r="U2" s="34" t="s">
        <v>1023</v>
      </c>
      <c r="V2" s="34" t="s">
        <v>113</v>
      </c>
      <c r="W2" s="34" t="s">
        <v>2</v>
      </c>
      <c r="X2" s="34" t="s">
        <v>70</v>
      </c>
      <c r="Y2" s="34" t="s">
        <v>1024</v>
      </c>
      <c r="Z2" s="34" t="s">
        <v>5</v>
      </c>
      <c r="AA2" s="215" t="s">
        <v>1025</v>
      </c>
      <c r="AB2" s="215" t="s">
        <v>1026</v>
      </c>
      <c r="AC2" s="215" t="s">
        <v>5</v>
      </c>
      <c r="AD2" s="91" t="s">
        <v>1027</v>
      </c>
      <c r="AE2" s="91" t="s">
        <v>1028</v>
      </c>
      <c r="AF2" s="91" t="s">
        <v>1029</v>
      </c>
      <c r="AG2" s="91" t="s">
        <v>1030</v>
      </c>
      <c r="AH2" s="34" t="s">
        <v>1031</v>
      </c>
      <c r="AI2" s="34" t="s">
        <v>1032</v>
      </c>
      <c r="AJ2" s="34" t="s">
        <v>1033</v>
      </c>
    </row>
    <row r="3" spans="1:36" ht="14" customHeight="1">
      <c r="A3" s="3" t="s">
        <v>1034</v>
      </c>
      <c r="B3" s="2" t="s">
        <v>92</v>
      </c>
      <c r="C3" s="3" t="s">
        <v>56</v>
      </c>
      <c r="D3" s="3" t="s">
        <v>1035</v>
      </c>
      <c r="E3" s="3" t="s">
        <v>287</v>
      </c>
      <c r="F3" s="3" t="s">
        <v>1036</v>
      </c>
      <c r="G3" s="3" t="s">
        <v>1037</v>
      </c>
      <c r="H3" s="216">
        <v>40.701000000000001</v>
      </c>
      <c r="I3" s="217">
        <v>0.20300000000000001</v>
      </c>
      <c r="J3" s="216">
        <v>54.451999999999998</v>
      </c>
      <c r="K3" s="217" t="s">
        <v>1038</v>
      </c>
      <c r="L3" s="217">
        <v>0.184</v>
      </c>
      <c r="M3" s="217">
        <v>3.5000000000000003E-2</v>
      </c>
      <c r="N3" s="217" t="s">
        <v>1038</v>
      </c>
      <c r="O3" s="217">
        <v>3.7370000000000001</v>
      </c>
      <c r="P3" s="217">
        <v>2.7E-2</v>
      </c>
      <c r="Q3" s="217">
        <v>2.7E-2</v>
      </c>
      <c r="R3" s="217" t="s">
        <v>1038</v>
      </c>
      <c r="S3" s="217">
        <v>3.0000000000000001E-3</v>
      </c>
      <c r="T3" s="217"/>
      <c r="U3" s="217"/>
      <c r="V3" s="217" t="s">
        <v>1038</v>
      </c>
      <c r="W3" s="217" t="s">
        <v>1038</v>
      </c>
      <c r="X3" s="217" t="s">
        <v>1038</v>
      </c>
      <c r="Y3" s="3" t="s">
        <v>1038</v>
      </c>
      <c r="Z3" s="216">
        <v>99.338999999999984</v>
      </c>
      <c r="AA3" s="217">
        <v>-1.573547188184268</v>
      </c>
      <c r="AB3" s="217">
        <v>-6.0923963478098989E-3</v>
      </c>
      <c r="AC3" s="217">
        <v>97.75936041546791</v>
      </c>
      <c r="AD3" s="95"/>
      <c r="AE3" s="95"/>
      <c r="AF3" s="95"/>
      <c r="AG3" s="95"/>
      <c r="AH3" s="95"/>
      <c r="AJ3" s="95"/>
    </row>
    <row r="4" spans="1:36" ht="14" customHeight="1">
      <c r="A4" s="3" t="s">
        <v>1039</v>
      </c>
      <c r="B4" s="2" t="s">
        <v>92</v>
      </c>
      <c r="C4" s="3" t="s">
        <v>56</v>
      </c>
      <c r="D4" s="3" t="s">
        <v>1035</v>
      </c>
      <c r="E4" s="3" t="s">
        <v>287</v>
      </c>
      <c r="F4" s="3" t="s">
        <v>1036</v>
      </c>
      <c r="G4" s="3" t="s">
        <v>1037</v>
      </c>
      <c r="H4" s="216">
        <v>42.546999999999997</v>
      </c>
      <c r="I4" s="217">
        <v>0.21299999999999999</v>
      </c>
      <c r="J4" s="216">
        <v>55.024999999999999</v>
      </c>
      <c r="K4" s="217" t="s">
        <v>1038</v>
      </c>
      <c r="L4" s="217">
        <v>9.6000000000000002E-2</v>
      </c>
      <c r="M4" s="217">
        <v>5.1999999999999998E-2</v>
      </c>
      <c r="N4" s="217" t="s">
        <v>1038</v>
      </c>
      <c r="O4" s="217">
        <v>3.79</v>
      </c>
      <c r="P4" s="217" t="s">
        <v>1038</v>
      </c>
      <c r="Q4" s="217">
        <v>1.4E-2</v>
      </c>
      <c r="R4" s="217" t="s">
        <v>1038</v>
      </c>
      <c r="S4" s="217">
        <v>1.0999999999999999E-2</v>
      </c>
      <c r="T4" s="217"/>
      <c r="U4" s="217"/>
      <c r="V4" s="217" t="s">
        <v>1038</v>
      </c>
      <c r="W4" s="217" t="s">
        <v>1038</v>
      </c>
      <c r="X4" s="217" t="s">
        <v>1038</v>
      </c>
      <c r="Y4" s="3" t="s">
        <v>1038</v>
      </c>
      <c r="Z4" s="216">
        <v>101.72300000000001</v>
      </c>
      <c r="AA4" s="217">
        <v>-1.5958640201280108</v>
      </c>
      <c r="AB4" s="217" t="s">
        <v>1038</v>
      </c>
      <c r="AC4" s="217">
        <v>100.12713597987201</v>
      </c>
      <c r="AF4" s="95"/>
      <c r="AG4" s="95"/>
      <c r="AH4" s="95"/>
      <c r="AJ4" s="95"/>
    </row>
    <row r="5" spans="1:36" ht="14" customHeight="1">
      <c r="A5" s="3" t="s">
        <v>1040</v>
      </c>
      <c r="B5" s="2" t="s">
        <v>92</v>
      </c>
      <c r="C5" s="3" t="s">
        <v>56</v>
      </c>
      <c r="D5" s="3" t="s">
        <v>1035</v>
      </c>
      <c r="E5" s="3" t="s">
        <v>287</v>
      </c>
      <c r="F5" s="3" t="s">
        <v>1036</v>
      </c>
      <c r="G5" s="3" t="s">
        <v>1037</v>
      </c>
      <c r="H5" s="216">
        <v>41.784999999999997</v>
      </c>
      <c r="I5" s="217">
        <v>0.218</v>
      </c>
      <c r="J5" s="216">
        <v>54.89</v>
      </c>
      <c r="K5" s="217" t="s">
        <v>1038</v>
      </c>
      <c r="L5" s="217" t="s">
        <v>1038</v>
      </c>
      <c r="M5" s="217">
        <v>5.1999999999999998E-2</v>
      </c>
      <c r="N5" s="217" t="s">
        <v>1038</v>
      </c>
      <c r="O5" s="217">
        <v>4.1120000000000001</v>
      </c>
      <c r="P5" s="217" t="s">
        <v>1038</v>
      </c>
      <c r="Q5" s="217">
        <v>0.02</v>
      </c>
      <c r="R5" s="217" t="s">
        <v>1038</v>
      </c>
      <c r="S5" s="217">
        <v>4.0000000000000001E-3</v>
      </c>
      <c r="T5" s="217"/>
      <c r="U5" s="217"/>
      <c r="V5" s="217" t="s">
        <v>1038</v>
      </c>
      <c r="W5" s="217" t="s">
        <v>1038</v>
      </c>
      <c r="X5" s="217" t="s">
        <v>1038</v>
      </c>
      <c r="Y5" s="3" t="s">
        <v>1038</v>
      </c>
      <c r="Z5" s="216">
        <v>101.057</v>
      </c>
      <c r="AA5" s="217">
        <v>-1.7314493009937679</v>
      </c>
      <c r="AB5" s="217" t="s">
        <v>1038</v>
      </c>
      <c r="AC5" s="217">
        <v>99.325550699006229</v>
      </c>
      <c r="AE5" s="95"/>
      <c r="AF5" s="95"/>
      <c r="AG5" s="95"/>
      <c r="AH5" s="95"/>
      <c r="AJ5" s="95"/>
    </row>
    <row r="6" spans="1:36" ht="14" customHeight="1">
      <c r="A6" s="3" t="s">
        <v>1041</v>
      </c>
      <c r="B6" s="2" t="s">
        <v>92</v>
      </c>
      <c r="C6" s="3" t="s">
        <v>56</v>
      </c>
      <c r="D6" s="3" t="s">
        <v>1035</v>
      </c>
      <c r="E6" s="3" t="s">
        <v>1042</v>
      </c>
      <c r="F6" s="3" t="s">
        <v>1036</v>
      </c>
      <c r="G6" s="3" t="s">
        <v>1037</v>
      </c>
      <c r="H6" s="216">
        <v>40.732999999999997</v>
      </c>
      <c r="I6" s="217">
        <v>0.75</v>
      </c>
      <c r="J6" s="216">
        <v>54.305</v>
      </c>
      <c r="K6" s="217" t="s">
        <v>1038</v>
      </c>
      <c r="L6" s="217">
        <v>0.55400000000000005</v>
      </c>
      <c r="M6" s="217">
        <v>6.9000000000000006E-2</v>
      </c>
      <c r="N6" s="217" t="s">
        <v>1038</v>
      </c>
      <c r="O6" s="217">
        <v>4.0970000000000004</v>
      </c>
      <c r="P6" s="217" t="s">
        <v>1038</v>
      </c>
      <c r="Q6" s="217">
        <v>2.4E-2</v>
      </c>
      <c r="R6" s="217" t="s">
        <v>1038</v>
      </c>
      <c r="S6" s="217">
        <v>2.5999999999999999E-2</v>
      </c>
      <c r="T6" s="217"/>
      <c r="U6" s="217"/>
      <c r="V6" s="217">
        <v>0.24399999999999999</v>
      </c>
      <c r="W6" s="217">
        <v>0.313</v>
      </c>
      <c r="X6" s="217" t="s">
        <v>1038</v>
      </c>
      <c r="Y6" s="3" t="s">
        <v>1038</v>
      </c>
      <c r="Z6" s="216">
        <v>101.065</v>
      </c>
      <c r="AA6" s="217">
        <v>-1.725133216481388</v>
      </c>
      <c r="AB6" s="217" t="s">
        <v>1038</v>
      </c>
      <c r="AC6" s="217">
        <v>99.339866783518616</v>
      </c>
      <c r="AE6" s="95"/>
      <c r="AF6" s="95"/>
      <c r="AG6" s="95"/>
      <c r="AH6" s="95"/>
      <c r="AJ6" s="95"/>
    </row>
    <row r="7" spans="1:36" ht="14" customHeight="1">
      <c r="A7" s="3" t="s">
        <v>1043</v>
      </c>
      <c r="B7" s="2" t="s">
        <v>92</v>
      </c>
      <c r="C7" s="3" t="s">
        <v>56</v>
      </c>
      <c r="D7" s="3" t="s">
        <v>1035</v>
      </c>
      <c r="E7" s="3" t="s">
        <v>1042</v>
      </c>
      <c r="F7" s="3" t="s">
        <v>1036</v>
      </c>
      <c r="G7" s="3" t="s">
        <v>1037</v>
      </c>
      <c r="H7" s="216">
        <v>41.417000000000002</v>
      </c>
      <c r="I7" s="217">
        <v>0.26300000000000001</v>
      </c>
      <c r="J7" s="216">
        <v>54.561</v>
      </c>
      <c r="K7" s="217" t="s">
        <v>1038</v>
      </c>
      <c r="L7" s="217" t="s">
        <v>1038</v>
      </c>
      <c r="M7" s="217">
        <v>5.2999999999999999E-2</v>
      </c>
      <c r="N7" s="217" t="s">
        <v>1038</v>
      </c>
      <c r="O7" s="217">
        <v>3.8759999999999999</v>
      </c>
      <c r="P7" s="217">
        <v>0.03</v>
      </c>
      <c r="Q7" s="217">
        <v>0.03</v>
      </c>
      <c r="R7" s="217" t="s">
        <v>1038</v>
      </c>
      <c r="S7" s="217">
        <v>1E-3</v>
      </c>
      <c r="T7" s="217"/>
      <c r="U7" s="217"/>
      <c r="V7" s="217" t="s">
        <v>1038</v>
      </c>
      <c r="W7" s="217" t="s">
        <v>1038</v>
      </c>
      <c r="X7" s="217" t="s">
        <v>1038</v>
      </c>
      <c r="Y7" s="3" t="s">
        <v>1038</v>
      </c>
      <c r="Z7" s="216">
        <v>100.2</v>
      </c>
      <c r="AA7" s="217">
        <v>-1.6320762379989893</v>
      </c>
      <c r="AB7" s="217">
        <v>-6.7693292753443317E-3</v>
      </c>
      <c r="AC7" s="217">
        <v>98.561154432725672</v>
      </c>
      <c r="AD7" s="95"/>
      <c r="AE7" s="95"/>
      <c r="AF7" s="95"/>
      <c r="AG7" s="95"/>
      <c r="AH7" s="95"/>
      <c r="AJ7" s="95"/>
    </row>
    <row r="8" spans="1:36" ht="14" customHeight="1">
      <c r="A8" s="3" t="s">
        <v>1044</v>
      </c>
      <c r="B8" s="2" t="s">
        <v>92</v>
      </c>
      <c r="C8" s="3" t="s">
        <v>56</v>
      </c>
      <c r="D8" s="3" t="s">
        <v>1035</v>
      </c>
      <c r="E8" s="3" t="s">
        <v>1042</v>
      </c>
      <c r="F8" s="3" t="s">
        <v>1036</v>
      </c>
      <c r="G8" s="3" t="s">
        <v>1037</v>
      </c>
      <c r="H8" s="216">
        <v>41.81</v>
      </c>
      <c r="I8" s="217">
        <v>0.22600000000000001</v>
      </c>
      <c r="J8" s="216">
        <v>55.216000000000001</v>
      </c>
      <c r="K8" s="217" t="s">
        <v>1038</v>
      </c>
      <c r="L8" s="217">
        <v>9.2999999999999999E-2</v>
      </c>
      <c r="M8" s="217">
        <v>6.8000000000000005E-2</v>
      </c>
      <c r="N8" s="217" t="s">
        <v>1038</v>
      </c>
      <c r="O8" s="217">
        <v>3.89</v>
      </c>
      <c r="P8" s="217" t="s">
        <v>1038</v>
      </c>
      <c r="Q8" s="217">
        <v>1.7000000000000001E-2</v>
      </c>
      <c r="R8" s="217" t="s">
        <v>1038</v>
      </c>
      <c r="S8" s="217">
        <v>0</v>
      </c>
      <c r="T8" s="217"/>
      <c r="U8" s="217"/>
      <c r="V8" s="217" t="s">
        <v>1038</v>
      </c>
      <c r="W8" s="217" t="s">
        <v>1038</v>
      </c>
      <c r="X8" s="217" t="s">
        <v>1038</v>
      </c>
      <c r="Y8" s="3" t="s">
        <v>1038</v>
      </c>
      <c r="Z8" s="216">
        <v>101.30300000000001</v>
      </c>
      <c r="AA8" s="217">
        <v>-1.6379712502105439</v>
      </c>
      <c r="AB8" s="217" t="s">
        <v>1038</v>
      </c>
      <c r="AC8" s="217">
        <v>99.665028749789471</v>
      </c>
      <c r="AE8" s="95"/>
      <c r="AF8" s="95"/>
      <c r="AG8" s="95"/>
      <c r="AH8" s="95"/>
      <c r="AJ8" s="95"/>
    </row>
    <row r="9" spans="1:36" ht="14" customHeight="1">
      <c r="A9" s="3" t="s">
        <v>1045</v>
      </c>
      <c r="B9" s="2" t="s">
        <v>92</v>
      </c>
      <c r="C9" s="3" t="s">
        <v>56</v>
      </c>
      <c r="D9" s="3" t="s">
        <v>1035</v>
      </c>
      <c r="E9" s="3" t="s">
        <v>1042</v>
      </c>
      <c r="F9" s="3" t="s">
        <v>1036</v>
      </c>
      <c r="G9" s="3" t="s">
        <v>1037</v>
      </c>
      <c r="H9" s="216">
        <v>41.128999999999998</v>
      </c>
      <c r="I9" s="217">
        <v>0.24399999999999999</v>
      </c>
      <c r="J9" s="216">
        <v>55.094999999999999</v>
      </c>
      <c r="K9" s="217">
        <v>8.7999999999999995E-2</v>
      </c>
      <c r="L9" s="217" t="s">
        <v>1038</v>
      </c>
      <c r="M9" s="217">
        <v>6.4000000000000001E-2</v>
      </c>
      <c r="N9" s="217" t="s">
        <v>1038</v>
      </c>
      <c r="O9" s="217">
        <v>4.0350000000000001</v>
      </c>
      <c r="P9" s="217" t="s">
        <v>1038</v>
      </c>
      <c r="Q9" s="217">
        <v>1.0999999999999999E-2</v>
      </c>
      <c r="R9" s="217" t="s">
        <v>1038</v>
      </c>
      <c r="S9" s="217">
        <v>1.2E-2</v>
      </c>
      <c r="T9" s="217"/>
      <c r="U9" s="217"/>
      <c r="V9" s="217" t="s">
        <v>1038</v>
      </c>
      <c r="W9" s="217" t="s">
        <v>1038</v>
      </c>
      <c r="X9" s="217" t="s">
        <v>1038</v>
      </c>
      <c r="Y9" s="3" t="s">
        <v>1038</v>
      </c>
      <c r="Z9" s="216">
        <v>100.65499999999997</v>
      </c>
      <c r="AA9" s="217">
        <v>-1.6990267338302174</v>
      </c>
      <c r="AB9" s="217" t="s">
        <v>1038</v>
      </c>
      <c r="AC9" s="217">
        <v>98.95597326616975</v>
      </c>
      <c r="AE9" s="95"/>
      <c r="AF9" s="95"/>
      <c r="AG9" s="95"/>
      <c r="AH9" s="95"/>
      <c r="AJ9" s="95"/>
    </row>
    <row r="10" spans="1:36" ht="14" customHeight="1">
      <c r="A10" s="3" t="s">
        <v>1046</v>
      </c>
      <c r="B10" s="2" t="s">
        <v>92</v>
      </c>
      <c r="C10" s="3" t="s">
        <v>56</v>
      </c>
      <c r="D10" s="3" t="s">
        <v>1035</v>
      </c>
      <c r="E10" s="3" t="s">
        <v>1042</v>
      </c>
      <c r="F10" s="3" t="s">
        <v>1036</v>
      </c>
      <c r="G10" s="3" t="s">
        <v>1037</v>
      </c>
      <c r="H10" s="216">
        <v>41.826000000000001</v>
      </c>
      <c r="I10" s="217">
        <v>0.19600000000000001</v>
      </c>
      <c r="J10" s="216">
        <v>55.814999999999998</v>
      </c>
      <c r="K10" s="217" t="s">
        <v>1038</v>
      </c>
      <c r="L10" s="217" t="s">
        <v>1038</v>
      </c>
      <c r="M10" s="217">
        <v>9.0999999999999998E-2</v>
      </c>
      <c r="N10" s="217" t="s">
        <v>1038</v>
      </c>
      <c r="O10" s="217">
        <v>3.8490000000000002</v>
      </c>
      <c r="P10" s="217">
        <v>3.5000000000000003E-2</v>
      </c>
      <c r="Q10" s="217">
        <v>3.5000000000000003E-2</v>
      </c>
      <c r="R10" s="217" t="s">
        <v>1038</v>
      </c>
      <c r="S10" s="217">
        <v>0</v>
      </c>
      <c r="T10" s="217"/>
      <c r="U10" s="217"/>
      <c r="V10" s="217" t="s">
        <v>1038</v>
      </c>
      <c r="W10" s="217" t="s">
        <v>1038</v>
      </c>
      <c r="X10" s="217" t="s">
        <v>1038</v>
      </c>
      <c r="Y10" s="3" t="s">
        <v>1038</v>
      </c>
      <c r="Z10" s="216">
        <v>101.81199999999998</v>
      </c>
      <c r="AA10" s="217">
        <v>-1.6207072858767055</v>
      </c>
      <c r="AB10" s="217">
        <v>-7.8975508212350536E-3</v>
      </c>
      <c r="AC10" s="217">
        <v>100.18339516330204</v>
      </c>
      <c r="AD10" s="95"/>
      <c r="AE10" s="95"/>
      <c r="AF10" s="95"/>
      <c r="AG10" s="95"/>
      <c r="AH10" s="95"/>
      <c r="AJ10" s="95"/>
    </row>
    <row r="11" spans="1:36" ht="14" customHeight="1">
      <c r="A11" s="3" t="s">
        <v>1047</v>
      </c>
      <c r="B11" s="2" t="s">
        <v>92</v>
      </c>
      <c r="C11" s="3" t="s">
        <v>56</v>
      </c>
      <c r="D11" s="3" t="s">
        <v>1035</v>
      </c>
      <c r="E11" s="3" t="s">
        <v>1042</v>
      </c>
      <c r="F11" s="3" t="s">
        <v>1036</v>
      </c>
      <c r="G11" s="3" t="s">
        <v>1037</v>
      </c>
      <c r="H11" s="216">
        <v>41.646000000000001</v>
      </c>
      <c r="I11" s="217">
        <v>0.28000000000000003</v>
      </c>
      <c r="J11" s="216">
        <v>55.576000000000001</v>
      </c>
      <c r="K11" s="217" t="s">
        <v>1038</v>
      </c>
      <c r="L11" s="217">
        <v>7.5999999999999998E-2</v>
      </c>
      <c r="M11" s="217">
        <v>5.7000000000000002E-2</v>
      </c>
      <c r="N11" s="217" t="s">
        <v>1038</v>
      </c>
      <c r="O11" s="217">
        <v>3.9849999999999999</v>
      </c>
      <c r="P11" s="217">
        <v>3.1E-2</v>
      </c>
      <c r="Q11" s="217">
        <v>3.1E-2</v>
      </c>
      <c r="R11" s="217" t="s">
        <v>1038</v>
      </c>
      <c r="S11" s="217">
        <v>0</v>
      </c>
      <c r="T11" s="217"/>
      <c r="U11" s="217"/>
      <c r="V11" s="217" t="s">
        <v>1038</v>
      </c>
      <c r="W11" s="217" t="s">
        <v>1038</v>
      </c>
      <c r="X11" s="217" t="s">
        <v>1038</v>
      </c>
      <c r="Y11" s="3" t="s">
        <v>1038</v>
      </c>
      <c r="Z11" s="216">
        <v>101.65100000000001</v>
      </c>
      <c r="AA11" s="217">
        <v>-1.6779731187889506</v>
      </c>
      <c r="AB11" s="217">
        <v>-6.9949735845224762E-3</v>
      </c>
      <c r="AC11" s="217">
        <v>99.966031907626544</v>
      </c>
      <c r="AE11" s="95"/>
      <c r="AF11" s="95"/>
      <c r="AG11" s="95"/>
      <c r="AH11" s="95"/>
      <c r="AJ11" s="95"/>
    </row>
    <row r="12" spans="1:36" ht="14" customHeight="1">
      <c r="A12" s="3" t="s">
        <v>1048</v>
      </c>
      <c r="B12" s="2" t="s">
        <v>92</v>
      </c>
      <c r="C12" s="3" t="s">
        <v>56</v>
      </c>
      <c r="D12" s="3" t="s">
        <v>1035</v>
      </c>
      <c r="E12" s="3" t="s">
        <v>1049</v>
      </c>
      <c r="F12" s="3" t="s">
        <v>1036</v>
      </c>
      <c r="G12" s="3" t="s">
        <v>1037</v>
      </c>
      <c r="H12" s="216">
        <v>42.3</v>
      </c>
      <c r="I12" s="217">
        <v>0.221</v>
      </c>
      <c r="J12" s="216">
        <v>54.811</v>
      </c>
      <c r="K12" s="217" t="s">
        <v>1038</v>
      </c>
      <c r="L12" s="217">
        <v>8.1000000000000003E-2</v>
      </c>
      <c r="M12" s="217">
        <v>6.8000000000000005E-2</v>
      </c>
      <c r="N12" s="217" t="s">
        <v>1038</v>
      </c>
      <c r="O12" s="217">
        <v>3.8740000000000001</v>
      </c>
      <c r="P12" s="217">
        <v>4.9000000000000002E-2</v>
      </c>
      <c r="Q12" s="217">
        <v>4.9000000000000002E-2</v>
      </c>
      <c r="R12" s="217" t="s">
        <v>1038</v>
      </c>
      <c r="S12" s="217">
        <v>0</v>
      </c>
      <c r="T12" s="217"/>
      <c r="U12" s="217"/>
      <c r="V12" s="217" t="s">
        <v>1038</v>
      </c>
      <c r="W12" s="217" t="s">
        <v>1038</v>
      </c>
      <c r="X12" s="217" t="s">
        <v>1038</v>
      </c>
      <c r="Y12" s="3" t="s">
        <v>1038</v>
      </c>
      <c r="Z12" s="216">
        <v>101.404</v>
      </c>
      <c r="AA12" s="217">
        <v>-1.6312340933973388</v>
      </c>
      <c r="AB12" s="217">
        <v>-1.1056571149729076E-2</v>
      </c>
      <c r="AC12" s="217">
        <v>99.761709335452935</v>
      </c>
      <c r="AE12" s="95"/>
      <c r="AF12" s="95"/>
      <c r="AG12" s="95"/>
      <c r="AH12" s="95"/>
      <c r="AJ12" s="95"/>
    </row>
    <row r="13" spans="1:36" ht="14" customHeight="1">
      <c r="A13" s="3" t="s">
        <v>1050</v>
      </c>
      <c r="B13" s="2" t="s">
        <v>92</v>
      </c>
      <c r="C13" s="3" t="s">
        <v>56</v>
      </c>
      <c r="D13" s="3" t="s">
        <v>1035</v>
      </c>
      <c r="E13" s="3" t="s">
        <v>1049</v>
      </c>
      <c r="F13" s="3" t="s">
        <v>1036</v>
      </c>
      <c r="G13" s="3" t="s">
        <v>1037</v>
      </c>
      <c r="H13" s="216">
        <v>41.386000000000003</v>
      </c>
      <c r="I13" s="217">
        <v>0.23300000000000001</v>
      </c>
      <c r="J13" s="216">
        <v>55.252000000000002</v>
      </c>
      <c r="K13" s="217" t="s">
        <v>1038</v>
      </c>
      <c r="L13" s="217" t="s">
        <v>1038</v>
      </c>
      <c r="M13" s="217">
        <v>5.7000000000000002E-2</v>
      </c>
      <c r="N13" s="217" t="s">
        <v>1038</v>
      </c>
      <c r="O13" s="217">
        <v>3.7970000000000002</v>
      </c>
      <c r="P13" s="217" t="s">
        <v>1038</v>
      </c>
      <c r="Q13" s="217">
        <v>1.7999999999999999E-2</v>
      </c>
      <c r="R13" s="217" t="s">
        <v>1038</v>
      </c>
      <c r="S13" s="217">
        <v>2.5000000000000001E-2</v>
      </c>
      <c r="T13" s="217"/>
      <c r="U13" s="217"/>
      <c r="V13" s="217" t="s">
        <v>1038</v>
      </c>
      <c r="W13" s="217" t="s">
        <v>1038</v>
      </c>
      <c r="X13" s="217" t="s">
        <v>1038</v>
      </c>
      <c r="Y13" s="3" t="s">
        <v>1038</v>
      </c>
      <c r="Z13" s="216">
        <v>100.72500000000001</v>
      </c>
      <c r="AA13" s="217">
        <v>-1.5988115262337881</v>
      </c>
      <c r="AB13" s="217" t="s">
        <v>1038</v>
      </c>
      <c r="AC13" s="217">
        <v>99.12618847376622</v>
      </c>
      <c r="AD13" s="95"/>
      <c r="AE13" s="95"/>
      <c r="AF13" s="95"/>
      <c r="AG13" s="95"/>
      <c r="AH13" s="95"/>
      <c r="AJ13" s="95"/>
    </row>
    <row r="14" spans="1:36" ht="14" customHeight="1">
      <c r="A14" s="3" t="s">
        <v>1051</v>
      </c>
      <c r="B14" s="2" t="s">
        <v>92</v>
      </c>
      <c r="C14" s="3" t="s">
        <v>56</v>
      </c>
      <c r="D14" s="3" t="s">
        <v>1035</v>
      </c>
      <c r="E14" s="3" t="s">
        <v>1049</v>
      </c>
      <c r="F14" s="3" t="s">
        <v>1036</v>
      </c>
      <c r="G14" s="3" t="s">
        <v>1037</v>
      </c>
      <c r="H14" s="216">
        <v>42.12</v>
      </c>
      <c r="I14" s="217">
        <v>0.20499999999999999</v>
      </c>
      <c r="J14" s="216">
        <v>54.982999999999997</v>
      </c>
      <c r="K14" s="217" t="s">
        <v>1038</v>
      </c>
      <c r="L14" s="217" t="s">
        <v>1038</v>
      </c>
      <c r="M14" s="217">
        <v>4.1000000000000002E-2</v>
      </c>
      <c r="N14" s="217" t="s">
        <v>1038</v>
      </c>
      <c r="O14" s="217">
        <v>4.0090000000000003</v>
      </c>
      <c r="P14" s="217">
        <v>4.3999999999999997E-2</v>
      </c>
      <c r="Q14" s="217">
        <v>4.3999999999999997E-2</v>
      </c>
      <c r="R14" s="217" t="s">
        <v>1038</v>
      </c>
      <c r="S14" s="217">
        <v>0</v>
      </c>
      <c r="T14" s="217"/>
      <c r="U14" s="217"/>
      <c r="V14" s="217" t="s">
        <v>1038</v>
      </c>
      <c r="W14" s="217" t="s">
        <v>1038</v>
      </c>
      <c r="X14" s="217" t="s">
        <v>1038</v>
      </c>
      <c r="Y14" s="3" t="s">
        <v>1038</v>
      </c>
      <c r="Z14" s="216">
        <v>101.40199999999999</v>
      </c>
      <c r="AA14" s="217">
        <v>-1.6880788540087588</v>
      </c>
      <c r="AB14" s="217">
        <v>-9.9283496038383538E-3</v>
      </c>
      <c r="AC14" s="217">
        <v>99.703992796387396</v>
      </c>
      <c r="AD14" s="95"/>
      <c r="AE14" s="95"/>
      <c r="AF14" s="95"/>
      <c r="AG14" s="95"/>
      <c r="AH14" s="95"/>
      <c r="AJ14" s="95"/>
    </row>
    <row r="15" spans="1:36" ht="14" customHeight="1">
      <c r="A15" s="3" t="s">
        <v>1052</v>
      </c>
      <c r="B15" s="2" t="s">
        <v>92</v>
      </c>
      <c r="C15" s="3" t="s">
        <v>56</v>
      </c>
      <c r="D15" s="3" t="s">
        <v>1035</v>
      </c>
      <c r="E15" s="3" t="s">
        <v>1049</v>
      </c>
      <c r="F15" s="3" t="s">
        <v>1036</v>
      </c>
      <c r="G15" s="3" t="s">
        <v>1037</v>
      </c>
      <c r="H15" s="216">
        <v>41.551000000000002</v>
      </c>
      <c r="I15" s="217">
        <v>0.27</v>
      </c>
      <c r="J15" s="216">
        <v>55.128999999999998</v>
      </c>
      <c r="K15" s="217" t="s">
        <v>1038</v>
      </c>
      <c r="L15" s="217" t="s">
        <v>1038</v>
      </c>
      <c r="M15" s="217">
        <v>4.8000000000000001E-2</v>
      </c>
      <c r="N15" s="217" t="s">
        <v>1038</v>
      </c>
      <c r="O15" s="217">
        <v>3.9470000000000001</v>
      </c>
      <c r="P15" s="217">
        <v>2.7E-2</v>
      </c>
      <c r="Q15" s="217">
        <v>2.7E-2</v>
      </c>
      <c r="R15" s="217" t="s">
        <v>1038</v>
      </c>
      <c r="S15" s="217">
        <v>0</v>
      </c>
      <c r="T15" s="217"/>
      <c r="U15" s="217"/>
      <c r="V15" s="217" t="s">
        <v>1038</v>
      </c>
      <c r="W15" s="217" t="s">
        <v>1038</v>
      </c>
      <c r="X15" s="217" t="s">
        <v>1038</v>
      </c>
      <c r="Y15" s="3" t="s">
        <v>1038</v>
      </c>
      <c r="Z15" s="216">
        <v>100.97200000000001</v>
      </c>
      <c r="AA15" s="217">
        <v>-1.661972371357588</v>
      </c>
      <c r="AB15" s="217">
        <v>-6.0923963478098989E-3</v>
      </c>
      <c r="AC15" s="217">
        <v>99.303935232294606</v>
      </c>
      <c r="AD15" s="95"/>
      <c r="AE15" s="95"/>
      <c r="AF15" s="95"/>
      <c r="AG15" s="95"/>
      <c r="AH15" s="95"/>
      <c r="AJ15" s="95"/>
    </row>
    <row r="16" spans="1:36" ht="14" customHeight="1">
      <c r="A16" s="3" t="s">
        <v>1053</v>
      </c>
      <c r="B16" s="2" t="s">
        <v>92</v>
      </c>
      <c r="C16" s="3" t="s">
        <v>56</v>
      </c>
      <c r="D16" s="3" t="s">
        <v>1035</v>
      </c>
      <c r="E16" s="3" t="s">
        <v>1049</v>
      </c>
      <c r="F16" s="3" t="s">
        <v>1036</v>
      </c>
      <c r="G16" s="3" t="s">
        <v>1037</v>
      </c>
      <c r="H16" s="216">
        <v>41.523000000000003</v>
      </c>
      <c r="I16" s="217">
        <v>0.24399999999999999</v>
      </c>
      <c r="J16" s="216">
        <v>54.966999999999999</v>
      </c>
      <c r="K16" s="217" t="s">
        <v>1038</v>
      </c>
      <c r="L16" s="217" t="s">
        <v>1038</v>
      </c>
      <c r="M16" s="217">
        <v>4.2000000000000003E-2</v>
      </c>
      <c r="N16" s="217" t="s">
        <v>1038</v>
      </c>
      <c r="O16" s="217">
        <v>3.7109999999999999</v>
      </c>
      <c r="P16" s="217">
        <v>3.1E-2</v>
      </c>
      <c r="Q16" s="217">
        <v>3.1E-2</v>
      </c>
      <c r="R16" s="217" t="s">
        <v>1038</v>
      </c>
      <c r="S16" s="217">
        <v>0</v>
      </c>
      <c r="T16" s="217"/>
      <c r="U16" s="217"/>
      <c r="V16" s="217" t="s">
        <v>1038</v>
      </c>
      <c r="W16" s="217" t="s">
        <v>1038</v>
      </c>
      <c r="X16" s="217" t="s">
        <v>1038</v>
      </c>
      <c r="Y16" s="3" t="s">
        <v>1038</v>
      </c>
      <c r="Z16" s="216">
        <v>100.51800000000001</v>
      </c>
      <c r="AA16" s="217">
        <v>-1.5625993083628094</v>
      </c>
      <c r="AB16" s="217">
        <v>-6.9949735845224762E-3</v>
      </c>
      <c r="AC16" s="217">
        <v>98.948405718052683</v>
      </c>
      <c r="AD16" s="95"/>
      <c r="AE16" s="95"/>
      <c r="AF16" s="95"/>
      <c r="AG16" s="95"/>
      <c r="AH16" s="95"/>
      <c r="AJ16" s="95"/>
    </row>
    <row r="17" spans="1:36" ht="14" customHeight="1">
      <c r="A17" s="3" t="s">
        <v>1054</v>
      </c>
      <c r="B17" s="2" t="s">
        <v>92</v>
      </c>
      <c r="C17" s="3" t="s">
        <v>56</v>
      </c>
      <c r="D17" s="3" t="s">
        <v>1035</v>
      </c>
      <c r="E17" s="3" t="s">
        <v>1049</v>
      </c>
      <c r="F17" s="3" t="s">
        <v>1036</v>
      </c>
      <c r="G17" s="3" t="s">
        <v>1037</v>
      </c>
      <c r="H17" s="216">
        <v>40.774999999999999</v>
      </c>
      <c r="I17" s="217">
        <v>0.23400000000000001</v>
      </c>
      <c r="J17" s="216">
        <v>54.384999999999998</v>
      </c>
      <c r="K17" s="217" t="s">
        <v>1038</v>
      </c>
      <c r="L17" s="217" t="s">
        <v>1038</v>
      </c>
      <c r="M17" s="217">
        <v>4.1000000000000002E-2</v>
      </c>
      <c r="N17" s="217" t="s">
        <v>1038</v>
      </c>
      <c r="O17" s="217">
        <v>3.738</v>
      </c>
      <c r="P17" s="217" t="s">
        <v>1038</v>
      </c>
      <c r="Q17" s="217">
        <v>2.1999999999999999E-2</v>
      </c>
      <c r="R17" s="217" t="s">
        <v>1038</v>
      </c>
      <c r="S17" s="217">
        <v>0</v>
      </c>
      <c r="T17" s="217"/>
      <c r="U17" s="217"/>
      <c r="V17" s="217" t="s">
        <v>1038</v>
      </c>
      <c r="W17" s="217" t="s">
        <v>1038</v>
      </c>
      <c r="X17" s="217" t="s">
        <v>1038</v>
      </c>
      <c r="Y17" s="3" t="s">
        <v>1038</v>
      </c>
      <c r="Z17" s="216">
        <v>99.173000000000002</v>
      </c>
      <c r="AA17" s="217">
        <v>-1.5739682604850933</v>
      </c>
      <c r="AB17" s="217" t="s">
        <v>1038</v>
      </c>
      <c r="AC17" s="217">
        <v>97.599031739514913</v>
      </c>
      <c r="AD17" s="95"/>
      <c r="AE17" s="95"/>
      <c r="AF17" s="95"/>
      <c r="AG17" s="95"/>
      <c r="AH17" s="95"/>
      <c r="AJ17" s="95"/>
    </row>
    <row r="18" spans="1:36" ht="14" customHeight="1">
      <c r="A18" s="3" t="s">
        <v>1055</v>
      </c>
      <c r="B18" s="2" t="s">
        <v>92</v>
      </c>
      <c r="C18" s="3" t="s">
        <v>56</v>
      </c>
      <c r="D18" s="3" t="s">
        <v>1035</v>
      </c>
      <c r="E18" s="3" t="s">
        <v>1049</v>
      </c>
      <c r="F18" s="3" t="s">
        <v>1036</v>
      </c>
      <c r="G18" s="3" t="s">
        <v>1037</v>
      </c>
      <c r="H18" s="216">
        <v>41.16</v>
      </c>
      <c r="I18" s="217">
        <v>0.23699999999999999</v>
      </c>
      <c r="J18" s="216">
        <v>55.021999999999998</v>
      </c>
      <c r="K18" s="217" t="s">
        <v>1038</v>
      </c>
      <c r="L18" s="217" t="s">
        <v>1038</v>
      </c>
      <c r="M18" s="217">
        <v>4.7E-2</v>
      </c>
      <c r="N18" s="217">
        <v>1.9E-2</v>
      </c>
      <c r="O18" s="217">
        <v>3.9009999999999998</v>
      </c>
      <c r="P18" s="217">
        <v>3.5999999999999997E-2</v>
      </c>
      <c r="Q18" s="217">
        <v>3.5999999999999997E-2</v>
      </c>
      <c r="R18" s="217" t="s">
        <v>1038</v>
      </c>
      <c r="S18" s="217">
        <v>1.7999999999999999E-2</v>
      </c>
      <c r="T18" s="217"/>
      <c r="U18" s="217"/>
      <c r="V18" s="217" t="s">
        <v>1038</v>
      </c>
      <c r="W18" s="217" t="s">
        <v>1038</v>
      </c>
      <c r="X18" s="217" t="s">
        <v>1038</v>
      </c>
      <c r="Y18" s="3" t="s">
        <v>1038</v>
      </c>
      <c r="Z18" s="216">
        <v>100.422</v>
      </c>
      <c r="AA18" s="217">
        <v>-1.6426030455196226</v>
      </c>
      <c r="AB18" s="217">
        <v>-8.1231951304131973E-3</v>
      </c>
      <c r="AC18" s="217">
        <v>98.771273759349967</v>
      </c>
      <c r="AD18" s="95"/>
      <c r="AE18" s="95"/>
      <c r="AF18" s="95"/>
      <c r="AG18" s="95"/>
      <c r="AH18" s="95"/>
      <c r="AJ18" s="95"/>
    </row>
    <row r="19" spans="1:36" ht="14" customHeight="1">
      <c r="A19" s="3" t="s">
        <v>1056</v>
      </c>
      <c r="B19" s="2" t="s">
        <v>92</v>
      </c>
      <c r="C19" s="3" t="s">
        <v>56</v>
      </c>
      <c r="D19" s="3" t="s">
        <v>1035</v>
      </c>
      <c r="E19" s="3" t="s">
        <v>1049</v>
      </c>
      <c r="F19" s="3" t="s">
        <v>1036</v>
      </c>
      <c r="G19" s="3" t="s">
        <v>1037</v>
      </c>
      <c r="H19" s="216">
        <v>41.674999999999997</v>
      </c>
      <c r="I19" s="217">
        <v>0.26600000000000001</v>
      </c>
      <c r="J19" s="216">
        <v>55.601999999999997</v>
      </c>
      <c r="K19" s="217" t="s">
        <v>1038</v>
      </c>
      <c r="L19" s="217" t="s">
        <v>1038</v>
      </c>
      <c r="M19" s="217">
        <v>5.3999999999999999E-2</v>
      </c>
      <c r="N19" s="217" t="s">
        <v>1038</v>
      </c>
      <c r="O19" s="217">
        <v>4.0579999999999998</v>
      </c>
      <c r="P19" s="217">
        <v>3.3000000000000002E-2</v>
      </c>
      <c r="Q19" s="217">
        <v>3.3000000000000002E-2</v>
      </c>
      <c r="R19" s="217" t="s">
        <v>1038</v>
      </c>
      <c r="S19" s="217">
        <v>0</v>
      </c>
      <c r="T19" s="217"/>
      <c r="U19" s="217"/>
      <c r="V19" s="217" t="s">
        <v>1038</v>
      </c>
      <c r="W19" s="217" t="s">
        <v>1038</v>
      </c>
      <c r="X19" s="217">
        <v>0.11899999999999999</v>
      </c>
      <c r="Y19" s="3" t="s">
        <v>1038</v>
      </c>
      <c r="Z19" s="216">
        <v>101.807</v>
      </c>
      <c r="AA19" s="217">
        <v>-1.7087113967491998</v>
      </c>
      <c r="AB19" s="217">
        <v>-7.4462622028787654E-3</v>
      </c>
      <c r="AC19" s="217">
        <v>100.09084234104792</v>
      </c>
      <c r="AD19" s="95"/>
      <c r="AE19" s="95"/>
      <c r="AF19" s="95"/>
      <c r="AG19" s="95"/>
      <c r="AH19" s="95"/>
      <c r="AJ19" s="95"/>
    </row>
    <row r="20" spans="1:36" ht="14" customHeight="1">
      <c r="A20" s="3" t="s">
        <v>1057</v>
      </c>
      <c r="B20" s="2" t="s">
        <v>92</v>
      </c>
      <c r="C20" s="3" t="s">
        <v>56</v>
      </c>
      <c r="D20" s="3" t="s">
        <v>1035</v>
      </c>
      <c r="E20" s="3" t="s">
        <v>1049</v>
      </c>
      <c r="F20" s="3" t="s">
        <v>1036</v>
      </c>
      <c r="G20" s="3" t="s">
        <v>1037</v>
      </c>
      <c r="H20" s="216">
        <v>41.606000000000002</v>
      </c>
      <c r="I20" s="217">
        <v>0.217</v>
      </c>
      <c r="J20" s="216">
        <v>55.439</v>
      </c>
      <c r="K20" s="217" t="s">
        <v>1038</v>
      </c>
      <c r="L20" s="217" t="s">
        <v>1038</v>
      </c>
      <c r="M20" s="217">
        <v>3.7999999999999999E-2</v>
      </c>
      <c r="N20" s="217" t="s">
        <v>1038</v>
      </c>
      <c r="O20" s="217">
        <v>3.9060000000000001</v>
      </c>
      <c r="P20" s="217">
        <v>3.1E-2</v>
      </c>
      <c r="Q20" s="217">
        <v>3.1E-2</v>
      </c>
      <c r="R20" s="217" t="s">
        <v>1038</v>
      </c>
      <c r="S20" s="217">
        <v>1.2E-2</v>
      </c>
      <c r="T20" s="217"/>
      <c r="U20" s="217"/>
      <c r="V20" s="217" t="s">
        <v>1038</v>
      </c>
      <c r="W20" s="217" t="s">
        <v>1038</v>
      </c>
      <c r="X20" s="217" t="s">
        <v>1038</v>
      </c>
      <c r="Y20" s="3" t="s">
        <v>1038</v>
      </c>
      <c r="Z20" s="216">
        <v>101.23700000000001</v>
      </c>
      <c r="AA20" s="217">
        <v>-1.6447084070237494</v>
      </c>
      <c r="AB20" s="217">
        <v>-6.9949735845224762E-3</v>
      </c>
      <c r="AC20" s="217">
        <v>99.585296619391741</v>
      </c>
      <c r="AD20" s="95"/>
      <c r="AE20" s="95"/>
      <c r="AF20" s="95"/>
      <c r="AG20" s="95"/>
      <c r="AH20" s="95"/>
      <c r="AJ20" s="95"/>
    </row>
    <row r="21" spans="1:36" ht="14" customHeight="1">
      <c r="A21" s="3" t="s">
        <v>1058</v>
      </c>
      <c r="B21" s="2" t="s">
        <v>92</v>
      </c>
      <c r="C21" s="3" t="s">
        <v>56</v>
      </c>
      <c r="D21" s="3" t="s">
        <v>1035</v>
      </c>
      <c r="E21" s="3" t="s">
        <v>1049</v>
      </c>
      <c r="F21" s="3" t="s">
        <v>1036</v>
      </c>
      <c r="G21" s="3" t="s">
        <v>1037</v>
      </c>
      <c r="H21" s="216">
        <v>41.392000000000003</v>
      </c>
      <c r="I21" s="217">
        <v>0.246</v>
      </c>
      <c r="J21" s="216">
        <v>55.378999999999998</v>
      </c>
      <c r="K21" s="217" t="s">
        <v>1038</v>
      </c>
      <c r="L21" s="217" t="s">
        <v>1038</v>
      </c>
      <c r="M21" s="217">
        <v>2.9000000000000001E-2</v>
      </c>
      <c r="N21" s="217" t="s">
        <v>1038</v>
      </c>
      <c r="O21" s="217">
        <v>4.0670000000000002</v>
      </c>
      <c r="P21" s="217" t="s">
        <v>1038</v>
      </c>
      <c r="Q21" s="217">
        <v>2.1999999999999999E-2</v>
      </c>
      <c r="R21" s="217" t="s">
        <v>1038</v>
      </c>
      <c r="S21" s="217">
        <v>7.0000000000000001E-3</v>
      </c>
      <c r="T21" s="217"/>
      <c r="U21" s="217"/>
      <c r="V21" s="217" t="s">
        <v>1038</v>
      </c>
      <c r="W21" s="217" t="s">
        <v>1038</v>
      </c>
      <c r="X21" s="217">
        <v>0.109</v>
      </c>
      <c r="Y21" s="3" t="s">
        <v>1038</v>
      </c>
      <c r="Z21" s="216">
        <v>101.22199999999998</v>
      </c>
      <c r="AA21" s="217">
        <v>-1.712501047456628</v>
      </c>
      <c r="AB21" s="217" t="s">
        <v>1038</v>
      </c>
      <c r="AC21" s="217">
        <v>99.509498952543353</v>
      </c>
      <c r="AD21" s="95"/>
      <c r="AE21" s="95"/>
      <c r="AF21" s="95"/>
      <c r="AG21" s="95"/>
      <c r="AH21" s="95"/>
      <c r="AJ21" s="95"/>
    </row>
    <row r="22" spans="1:36" ht="14" customHeight="1">
      <c r="A22" s="3" t="s">
        <v>1059</v>
      </c>
      <c r="B22" s="2" t="s">
        <v>92</v>
      </c>
      <c r="C22" s="3" t="s">
        <v>56</v>
      </c>
      <c r="D22" s="3" t="s">
        <v>1035</v>
      </c>
      <c r="E22" s="3" t="s">
        <v>1049</v>
      </c>
      <c r="F22" s="3" t="s">
        <v>1036</v>
      </c>
      <c r="G22" s="3" t="s">
        <v>1037</v>
      </c>
      <c r="H22" s="216">
        <v>41.790999999999997</v>
      </c>
      <c r="I22" s="217">
        <v>0.27900000000000003</v>
      </c>
      <c r="J22" s="216">
        <v>55.780999999999999</v>
      </c>
      <c r="K22" s="217" t="s">
        <v>1038</v>
      </c>
      <c r="L22" s="217" t="s">
        <v>1038</v>
      </c>
      <c r="M22" s="217">
        <v>2.7E-2</v>
      </c>
      <c r="N22" s="217" t="s">
        <v>1038</v>
      </c>
      <c r="O22" s="217">
        <v>3.9380000000000002</v>
      </c>
      <c r="P22" s="217" t="s">
        <v>1038</v>
      </c>
      <c r="Q22" s="217">
        <v>1.2999999999999999E-2</v>
      </c>
      <c r="R22" s="217" t="s">
        <v>1038</v>
      </c>
      <c r="S22" s="217">
        <v>0</v>
      </c>
      <c r="T22" s="217"/>
      <c r="U22" s="217"/>
      <c r="V22" s="217" t="s">
        <v>1038</v>
      </c>
      <c r="W22" s="217" t="s">
        <v>1038</v>
      </c>
      <c r="X22" s="217" t="s">
        <v>1038</v>
      </c>
      <c r="Y22" s="3" t="s">
        <v>1038</v>
      </c>
      <c r="Z22" s="216">
        <v>101.816</v>
      </c>
      <c r="AA22" s="217">
        <v>-1.65818272065016</v>
      </c>
      <c r="AB22" s="217" t="s">
        <v>1038</v>
      </c>
      <c r="AC22" s="217">
        <v>100.15781727934984</v>
      </c>
      <c r="AD22" s="95"/>
      <c r="AE22" s="95"/>
      <c r="AF22" s="95"/>
      <c r="AG22" s="95"/>
      <c r="AH22" s="95"/>
      <c r="AJ22" s="95"/>
    </row>
    <row r="23" spans="1:36" ht="14" customHeight="1">
      <c r="A23" s="3" t="s">
        <v>1060</v>
      </c>
      <c r="B23" s="2" t="s">
        <v>92</v>
      </c>
      <c r="C23" s="3" t="s">
        <v>56</v>
      </c>
      <c r="D23" s="3" t="s">
        <v>1035</v>
      </c>
      <c r="E23" s="3" t="s">
        <v>1049</v>
      </c>
      <c r="F23" s="3" t="s">
        <v>1036</v>
      </c>
      <c r="G23" s="3" t="s">
        <v>1037</v>
      </c>
      <c r="H23" s="216">
        <v>41.527999999999999</v>
      </c>
      <c r="I23" s="217">
        <v>0.29099999999999998</v>
      </c>
      <c r="J23" s="216">
        <v>55.023000000000003</v>
      </c>
      <c r="K23" s="217" t="s">
        <v>1038</v>
      </c>
      <c r="L23" s="217" t="s">
        <v>1038</v>
      </c>
      <c r="M23" s="217">
        <v>3.4000000000000002E-2</v>
      </c>
      <c r="N23" s="217" t="s">
        <v>1038</v>
      </c>
      <c r="O23" s="217">
        <v>3.9780000000000002</v>
      </c>
      <c r="P23" s="217" t="s">
        <v>1038</v>
      </c>
      <c r="Q23" s="217">
        <v>2.3E-2</v>
      </c>
      <c r="R23" s="217" t="s">
        <v>1038</v>
      </c>
      <c r="S23" s="217">
        <v>1.0999999999999999E-2</v>
      </c>
      <c r="T23" s="217"/>
      <c r="U23" s="217"/>
      <c r="V23" s="217" t="s">
        <v>1038</v>
      </c>
      <c r="W23" s="217" t="s">
        <v>1038</v>
      </c>
      <c r="X23" s="217" t="s">
        <v>1038</v>
      </c>
      <c r="Y23" s="3" t="s">
        <v>1038</v>
      </c>
      <c r="Z23" s="216">
        <v>100.854</v>
      </c>
      <c r="AA23" s="217">
        <v>-1.6750256126831733</v>
      </c>
      <c r="AB23" s="217" t="s">
        <v>1038</v>
      </c>
      <c r="AC23" s="217">
        <v>99.178974387316828</v>
      </c>
      <c r="AD23" s="95"/>
      <c r="AE23" s="95"/>
      <c r="AF23" s="95"/>
      <c r="AG23" s="95"/>
      <c r="AH23" s="95"/>
      <c r="AJ23" s="95"/>
    </row>
    <row r="24" spans="1:36" ht="14" customHeight="1">
      <c r="A24" s="3" t="s">
        <v>1061</v>
      </c>
      <c r="B24" s="2" t="s">
        <v>92</v>
      </c>
      <c r="C24" s="3" t="s">
        <v>56</v>
      </c>
      <c r="D24" s="3" t="s">
        <v>1035</v>
      </c>
      <c r="E24" s="3" t="s">
        <v>1062</v>
      </c>
      <c r="F24" s="3" t="s">
        <v>1036</v>
      </c>
      <c r="G24" s="3" t="s">
        <v>1037</v>
      </c>
      <c r="H24" s="216">
        <v>42.237000000000002</v>
      </c>
      <c r="I24" s="217">
        <v>0.24099999999999999</v>
      </c>
      <c r="J24" s="216">
        <v>55.887999999999998</v>
      </c>
      <c r="K24" s="217" t="s">
        <v>1038</v>
      </c>
      <c r="L24" s="217" t="s">
        <v>1038</v>
      </c>
      <c r="M24" s="217" t="s">
        <v>1038</v>
      </c>
      <c r="N24" s="217" t="s">
        <v>1038</v>
      </c>
      <c r="O24" s="217">
        <v>4.1150000000000002</v>
      </c>
      <c r="P24" s="217">
        <v>3.6999999999999998E-2</v>
      </c>
      <c r="Q24" s="217">
        <v>3.6999999999999998E-2</v>
      </c>
      <c r="R24" s="217" t="s">
        <v>1038</v>
      </c>
      <c r="S24" s="217">
        <v>0</v>
      </c>
      <c r="T24" s="217"/>
      <c r="U24" s="217"/>
      <c r="V24" s="217" t="s">
        <v>1038</v>
      </c>
      <c r="W24" s="217" t="s">
        <v>1038</v>
      </c>
      <c r="X24" s="217" t="s">
        <v>1038</v>
      </c>
      <c r="Y24" s="3" t="s">
        <v>1038</v>
      </c>
      <c r="Z24" s="216">
        <v>102.518</v>
      </c>
      <c r="AA24" s="217">
        <v>-1.7327125178962439</v>
      </c>
      <c r="AB24" s="217">
        <v>-8.3488394395913428E-3</v>
      </c>
      <c r="AC24" s="217">
        <v>100.77693864266416</v>
      </c>
      <c r="AD24" s="95"/>
      <c r="AE24" s="95"/>
      <c r="AF24" s="95"/>
      <c r="AG24" s="95"/>
      <c r="AH24" s="95"/>
      <c r="AJ24" s="95"/>
    </row>
    <row r="25" spans="1:36" ht="14" customHeight="1">
      <c r="A25" s="3" t="s">
        <v>1063</v>
      </c>
      <c r="B25" s="2" t="s">
        <v>92</v>
      </c>
      <c r="C25" s="3" t="s">
        <v>56</v>
      </c>
      <c r="D25" s="3" t="s">
        <v>1035</v>
      </c>
      <c r="E25" s="3" t="s">
        <v>1062</v>
      </c>
      <c r="F25" s="3" t="s">
        <v>1036</v>
      </c>
      <c r="G25" s="3" t="s">
        <v>1037</v>
      </c>
      <c r="H25" s="216">
        <v>41.677</v>
      </c>
      <c r="I25" s="217">
        <v>0.223</v>
      </c>
      <c r="J25" s="216">
        <v>55.573</v>
      </c>
      <c r="K25" s="217" t="s">
        <v>1038</v>
      </c>
      <c r="L25" s="217" t="s">
        <v>1038</v>
      </c>
      <c r="M25" s="217" t="s">
        <v>1038</v>
      </c>
      <c r="N25" s="217" t="s">
        <v>1038</v>
      </c>
      <c r="O25" s="217">
        <v>3.8719999999999999</v>
      </c>
      <c r="P25" s="217">
        <v>2.8000000000000001E-2</v>
      </c>
      <c r="Q25" s="217">
        <v>2.8000000000000001E-2</v>
      </c>
      <c r="R25" s="217" t="s">
        <v>1038</v>
      </c>
      <c r="S25" s="217">
        <v>5.0000000000000001E-3</v>
      </c>
      <c r="T25" s="217"/>
      <c r="U25" s="217"/>
      <c r="V25" s="217" t="s">
        <v>1038</v>
      </c>
      <c r="W25" s="217" t="s">
        <v>1038</v>
      </c>
      <c r="X25" s="217" t="s">
        <v>1038</v>
      </c>
      <c r="Y25" s="3" t="s">
        <v>1038</v>
      </c>
      <c r="Z25" s="216">
        <v>101.373</v>
      </c>
      <c r="AA25" s="217">
        <v>-1.6303919487956879</v>
      </c>
      <c r="AB25" s="217">
        <v>-6.3180406569880434E-3</v>
      </c>
      <c r="AC25" s="217">
        <v>99.736290010547322</v>
      </c>
      <c r="AD25" s="95"/>
      <c r="AE25" s="95"/>
      <c r="AF25" s="95"/>
      <c r="AG25" s="95"/>
      <c r="AH25" s="95"/>
      <c r="AJ25" s="95"/>
    </row>
    <row r="26" spans="1:36" ht="14" customHeight="1">
      <c r="A26" s="3" t="s">
        <v>1064</v>
      </c>
      <c r="B26" s="2" t="s">
        <v>92</v>
      </c>
      <c r="C26" s="3" t="s">
        <v>56</v>
      </c>
      <c r="D26" s="3" t="s">
        <v>1035</v>
      </c>
      <c r="E26" s="3" t="s">
        <v>1062</v>
      </c>
      <c r="F26" s="3" t="s">
        <v>1036</v>
      </c>
      <c r="G26" s="3" t="s">
        <v>1037</v>
      </c>
      <c r="H26" s="216">
        <v>41.256999999999998</v>
      </c>
      <c r="I26" s="217">
        <v>0.21</v>
      </c>
      <c r="J26" s="216">
        <v>55.087000000000003</v>
      </c>
      <c r="K26" s="217" t="s">
        <v>1038</v>
      </c>
      <c r="L26" s="217" t="s">
        <v>1038</v>
      </c>
      <c r="M26" s="217" t="s">
        <v>1038</v>
      </c>
      <c r="N26" s="217" t="s">
        <v>1038</v>
      </c>
      <c r="O26" s="217">
        <v>4.1500000000000004</v>
      </c>
      <c r="P26" s="217">
        <v>3.1E-2</v>
      </c>
      <c r="Q26" s="217">
        <v>0.03</v>
      </c>
      <c r="R26" s="217" t="s">
        <v>1038</v>
      </c>
      <c r="S26" s="217">
        <v>0</v>
      </c>
      <c r="T26" s="217"/>
      <c r="U26" s="217"/>
      <c r="V26" s="217" t="s">
        <v>1038</v>
      </c>
      <c r="W26" s="217" t="s">
        <v>1038</v>
      </c>
      <c r="X26" s="217" t="s">
        <v>1038</v>
      </c>
      <c r="Y26" s="3" t="s">
        <v>1038</v>
      </c>
      <c r="Z26" s="216">
        <v>100.73500000000001</v>
      </c>
      <c r="AA26" s="217">
        <v>-1.7474500484251307</v>
      </c>
      <c r="AB26" s="217">
        <v>-6.9949735845224762E-3</v>
      </c>
      <c r="AC26" s="217">
        <v>98.980554977990366</v>
      </c>
      <c r="AD26" s="95"/>
      <c r="AE26" s="95"/>
      <c r="AF26" s="95"/>
      <c r="AG26" s="95"/>
      <c r="AH26" s="95"/>
      <c r="AJ26" s="95"/>
    </row>
    <row r="27" spans="1:36" ht="14" customHeight="1">
      <c r="A27" s="3" t="s">
        <v>1065</v>
      </c>
      <c r="B27" s="2" t="s">
        <v>92</v>
      </c>
      <c r="C27" s="3" t="s">
        <v>56</v>
      </c>
      <c r="D27" s="3" t="s">
        <v>1035</v>
      </c>
      <c r="E27" s="3" t="s">
        <v>1062</v>
      </c>
      <c r="F27" s="3" t="s">
        <v>1036</v>
      </c>
      <c r="G27" s="3" t="s">
        <v>1037</v>
      </c>
      <c r="H27" s="216">
        <v>41.338999999999999</v>
      </c>
      <c r="I27" s="217">
        <v>0.23499999999999999</v>
      </c>
      <c r="J27" s="216">
        <v>54.962000000000003</v>
      </c>
      <c r="K27" s="217" t="s">
        <v>1038</v>
      </c>
      <c r="L27" s="217" t="s">
        <v>1038</v>
      </c>
      <c r="M27" s="217">
        <v>3.4000000000000002E-2</v>
      </c>
      <c r="N27" s="217" t="s">
        <v>1038</v>
      </c>
      <c r="O27" s="217">
        <v>3.661</v>
      </c>
      <c r="P27" s="217">
        <v>3.1E-2</v>
      </c>
      <c r="Q27" s="217">
        <v>0.03</v>
      </c>
      <c r="R27" s="217" t="s">
        <v>1038</v>
      </c>
      <c r="S27" s="217">
        <v>0</v>
      </c>
      <c r="T27" s="217"/>
      <c r="U27" s="217"/>
      <c r="V27" s="217" t="s">
        <v>1038</v>
      </c>
      <c r="W27" s="217" t="s">
        <v>1038</v>
      </c>
      <c r="X27" s="217" t="s">
        <v>1038</v>
      </c>
      <c r="Y27" s="3" t="s">
        <v>1038</v>
      </c>
      <c r="Z27" s="216">
        <v>100.26200000000001</v>
      </c>
      <c r="AA27" s="217">
        <v>-1.5415456933215428</v>
      </c>
      <c r="AB27" s="217">
        <v>-6.9949735845224762E-3</v>
      </c>
      <c r="AC27" s="217">
        <v>98.713459333093951</v>
      </c>
      <c r="AD27" s="95"/>
      <c r="AE27" s="95"/>
      <c r="AF27" s="95"/>
      <c r="AG27" s="95"/>
      <c r="AH27" s="95"/>
      <c r="AJ27" s="95"/>
    </row>
    <row r="28" spans="1:36" ht="14" customHeight="1">
      <c r="A28" s="3" t="s">
        <v>1066</v>
      </c>
      <c r="B28" s="2" t="s">
        <v>92</v>
      </c>
      <c r="C28" s="3" t="s">
        <v>56</v>
      </c>
      <c r="D28" s="3" t="s">
        <v>1035</v>
      </c>
      <c r="E28" s="3" t="s">
        <v>1062</v>
      </c>
      <c r="F28" s="3" t="s">
        <v>1036</v>
      </c>
      <c r="G28" s="3" t="s">
        <v>1037</v>
      </c>
      <c r="H28" s="216">
        <v>40.951000000000001</v>
      </c>
      <c r="I28" s="217">
        <v>0.22500000000000001</v>
      </c>
      <c r="J28" s="216">
        <v>54.886000000000003</v>
      </c>
      <c r="K28" s="217" t="s">
        <v>1038</v>
      </c>
      <c r="L28" s="217" t="s">
        <v>1038</v>
      </c>
      <c r="M28" s="217" t="s">
        <v>1038</v>
      </c>
      <c r="N28" s="217" t="s">
        <v>1038</v>
      </c>
      <c r="O28" s="217">
        <v>3.9729999999999999</v>
      </c>
      <c r="P28" s="217" t="s">
        <v>1038</v>
      </c>
      <c r="Q28" s="217">
        <v>2.5000000000000001E-2</v>
      </c>
      <c r="R28" s="217" t="s">
        <v>1038</v>
      </c>
      <c r="S28" s="217">
        <v>5.0000000000000001E-3</v>
      </c>
      <c r="T28" s="217"/>
      <c r="U28" s="217"/>
      <c r="V28" s="217" t="s">
        <v>1038</v>
      </c>
      <c r="W28" s="217" t="s">
        <v>1038</v>
      </c>
      <c r="X28" s="217" t="s">
        <v>1038</v>
      </c>
      <c r="Y28" s="3" t="s">
        <v>1038</v>
      </c>
      <c r="Z28" s="216">
        <v>100.03500000000001</v>
      </c>
      <c r="AA28" s="217">
        <v>-1.6729202511790464</v>
      </c>
      <c r="AB28" s="217" t="s">
        <v>1038</v>
      </c>
      <c r="AC28" s="217">
        <v>98.36207974882096</v>
      </c>
      <c r="AD28" s="95"/>
      <c r="AE28" s="95"/>
      <c r="AF28" s="95"/>
      <c r="AG28" s="95"/>
      <c r="AH28" s="95"/>
      <c r="AJ28" s="95"/>
    </row>
    <row r="29" spans="1:36" ht="14" customHeight="1">
      <c r="A29" s="3" t="s">
        <v>1067</v>
      </c>
      <c r="B29" s="2" t="s">
        <v>92</v>
      </c>
      <c r="C29" s="3" t="s">
        <v>56</v>
      </c>
      <c r="D29" s="3" t="s">
        <v>1035</v>
      </c>
      <c r="E29" s="3" t="s">
        <v>1062</v>
      </c>
      <c r="F29" s="3" t="s">
        <v>1036</v>
      </c>
      <c r="G29" s="3" t="s">
        <v>1037</v>
      </c>
      <c r="H29" s="216">
        <v>41.634</v>
      </c>
      <c r="I29" s="217">
        <v>0.20200000000000001</v>
      </c>
      <c r="J29" s="216">
        <v>55.427</v>
      </c>
      <c r="K29" s="217" t="s">
        <v>1038</v>
      </c>
      <c r="L29" s="217" t="s">
        <v>1038</v>
      </c>
      <c r="M29" s="217">
        <v>4.4999999999999998E-2</v>
      </c>
      <c r="N29" s="217" t="s">
        <v>1038</v>
      </c>
      <c r="O29" s="217">
        <v>3.8239999999999998</v>
      </c>
      <c r="P29" s="217" t="s">
        <v>1038</v>
      </c>
      <c r="Q29" s="217">
        <v>1.4E-2</v>
      </c>
      <c r="R29" s="217" t="s">
        <v>1038</v>
      </c>
      <c r="S29" s="217">
        <v>1E-3</v>
      </c>
      <c r="T29" s="217"/>
      <c r="U29" s="217"/>
      <c r="V29" s="217" t="s">
        <v>1038</v>
      </c>
      <c r="W29" s="217" t="s">
        <v>1038</v>
      </c>
      <c r="X29" s="217" t="s">
        <v>1038</v>
      </c>
      <c r="Y29" s="3" t="s">
        <v>1038</v>
      </c>
      <c r="Z29" s="216">
        <v>101.13200000000001</v>
      </c>
      <c r="AA29" s="217">
        <v>-1.6101804783560718</v>
      </c>
      <c r="AB29" s="217" t="s">
        <v>1038</v>
      </c>
      <c r="AC29" s="217">
        <v>99.521819521643934</v>
      </c>
      <c r="AD29" s="95"/>
      <c r="AE29" s="95"/>
      <c r="AF29" s="95"/>
      <c r="AG29" s="95"/>
      <c r="AH29" s="95"/>
      <c r="AJ29" s="95"/>
    </row>
    <row r="30" spans="1:36" ht="14" customHeight="1">
      <c r="A30" s="3" t="s">
        <v>1068</v>
      </c>
      <c r="B30" s="2" t="s">
        <v>92</v>
      </c>
      <c r="C30" s="3" t="s">
        <v>56</v>
      </c>
      <c r="D30" s="3" t="s">
        <v>1035</v>
      </c>
      <c r="E30" s="3" t="s">
        <v>1062</v>
      </c>
      <c r="F30" s="3" t="s">
        <v>1036</v>
      </c>
      <c r="G30" s="3" t="s">
        <v>1037</v>
      </c>
      <c r="H30" s="216">
        <v>42.334000000000003</v>
      </c>
      <c r="I30" s="217">
        <v>0.19</v>
      </c>
      <c r="J30" s="216">
        <v>54.972000000000001</v>
      </c>
      <c r="K30" s="217" t="s">
        <v>1038</v>
      </c>
      <c r="L30" s="217" t="s">
        <v>1038</v>
      </c>
      <c r="M30" s="217">
        <v>0.03</v>
      </c>
      <c r="N30" s="217" t="s">
        <v>1038</v>
      </c>
      <c r="O30" s="217">
        <v>4.0190000000000001</v>
      </c>
      <c r="P30" s="217">
        <v>8.7999999999999995E-2</v>
      </c>
      <c r="Q30" s="217">
        <v>8.7999999999999995E-2</v>
      </c>
      <c r="R30" s="217" t="s">
        <v>1038</v>
      </c>
      <c r="S30" s="217">
        <v>3.0000000000000001E-3</v>
      </c>
      <c r="T30" s="217"/>
      <c r="U30" s="217"/>
      <c r="V30" s="217" t="s">
        <v>1038</v>
      </c>
      <c r="W30" s="217" t="s">
        <v>1038</v>
      </c>
      <c r="X30" s="217" t="s">
        <v>1038</v>
      </c>
      <c r="Y30" s="3" t="s">
        <v>1038</v>
      </c>
      <c r="Z30" s="216">
        <v>101.63300000000001</v>
      </c>
      <c r="AA30" s="217">
        <v>-1.6922895770170121</v>
      </c>
      <c r="AB30" s="217">
        <v>-1.9856699207676708E-2</v>
      </c>
      <c r="AC30" s="217">
        <v>99.920853723775323</v>
      </c>
      <c r="AD30" s="95"/>
      <c r="AE30" s="95"/>
      <c r="AF30" s="95"/>
      <c r="AG30" s="95"/>
      <c r="AH30" s="95"/>
      <c r="AJ30" s="95"/>
    </row>
    <row r="31" spans="1:36" ht="14" customHeight="1">
      <c r="A31" s="3" t="s">
        <v>1069</v>
      </c>
      <c r="B31" s="2" t="s">
        <v>92</v>
      </c>
      <c r="C31" s="3" t="s">
        <v>56</v>
      </c>
      <c r="D31" s="3" t="s">
        <v>1035</v>
      </c>
      <c r="E31" s="3" t="s">
        <v>1062</v>
      </c>
      <c r="F31" s="3" t="s">
        <v>1036</v>
      </c>
      <c r="G31" s="3" t="s">
        <v>1037</v>
      </c>
      <c r="H31" s="216">
        <v>41.023000000000003</v>
      </c>
      <c r="I31" s="217">
        <v>0.219</v>
      </c>
      <c r="J31" s="216">
        <v>54.454999999999998</v>
      </c>
      <c r="K31" s="217" t="s">
        <v>1038</v>
      </c>
      <c r="L31" s="217" t="s">
        <v>1038</v>
      </c>
      <c r="M31" s="217">
        <v>2.7E-2</v>
      </c>
      <c r="N31" s="217" t="s">
        <v>1038</v>
      </c>
      <c r="O31" s="217">
        <v>3.9609999999999999</v>
      </c>
      <c r="P31" s="217" t="s">
        <v>1038</v>
      </c>
      <c r="Q31" s="217">
        <v>2.5999999999999999E-2</v>
      </c>
      <c r="R31" s="217" t="s">
        <v>1038</v>
      </c>
      <c r="S31" s="217">
        <v>0</v>
      </c>
      <c r="T31" s="217"/>
      <c r="U31" s="217"/>
      <c r="V31" s="217" t="s">
        <v>1038</v>
      </c>
      <c r="W31" s="217" t="s">
        <v>1038</v>
      </c>
      <c r="X31" s="217" t="s">
        <v>1038</v>
      </c>
      <c r="Y31" s="3" t="s">
        <v>1038</v>
      </c>
      <c r="Z31" s="216">
        <v>99.685000000000002</v>
      </c>
      <c r="AA31" s="217">
        <v>-1.6678673835691427</v>
      </c>
      <c r="AB31" s="217" t="s">
        <v>1038</v>
      </c>
      <c r="AC31" s="217">
        <v>98.017132616430857</v>
      </c>
      <c r="AD31" s="95"/>
      <c r="AE31" s="95"/>
      <c r="AF31" s="95"/>
      <c r="AG31" s="95"/>
      <c r="AH31" s="95"/>
      <c r="AJ31" s="95"/>
    </row>
    <row r="32" spans="1:36" ht="14" customHeight="1">
      <c r="A32" s="3" t="s">
        <v>1070</v>
      </c>
      <c r="B32" s="2" t="s">
        <v>92</v>
      </c>
      <c r="C32" s="3" t="s">
        <v>56</v>
      </c>
      <c r="D32" s="3" t="s">
        <v>1035</v>
      </c>
      <c r="E32" s="3" t="s">
        <v>1062</v>
      </c>
      <c r="F32" s="3" t="s">
        <v>1036</v>
      </c>
      <c r="G32" s="3" t="s">
        <v>1037</v>
      </c>
      <c r="H32" s="216">
        <v>41.752000000000002</v>
      </c>
      <c r="I32" s="217">
        <v>0.19900000000000001</v>
      </c>
      <c r="J32" s="216">
        <v>55.670999999999999</v>
      </c>
      <c r="K32" s="217" t="s">
        <v>1038</v>
      </c>
      <c r="L32" s="217" t="s">
        <v>1038</v>
      </c>
      <c r="M32" s="217" t="s">
        <v>1038</v>
      </c>
      <c r="N32" s="217" t="s">
        <v>1038</v>
      </c>
      <c r="O32" s="217">
        <v>3.93</v>
      </c>
      <c r="P32" s="217">
        <v>3.1E-2</v>
      </c>
      <c r="Q32" s="217">
        <v>3.1E-2</v>
      </c>
      <c r="R32" s="217" t="s">
        <v>1038</v>
      </c>
      <c r="S32" s="217">
        <v>0</v>
      </c>
      <c r="T32" s="217"/>
      <c r="U32" s="217"/>
      <c r="V32" s="217" t="s">
        <v>1038</v>
      </c>
      <c r="W32" s="217" t="s">
        <v>1038</v>
      </c>
      <c r="X32" s="217" t="s">
        <v>1038</v>
      </c>
      <c r="Y32" s="3" t="s">
        <v>1038</v>
      </c>
      <c r="Z32" s="216">
        <v>101.58300000000001</v>
      </c>
      <c r="AA32" s="217">
        <v>-1.6548141422435574</v>
      </c>
      <c r="AB32" s="217">
        <v>-6.9949735845224762E-3</v>
      </c>
      <c r="AC32" s="217">
        <v>99.921190884171935</v>
      </c>
      <c r="AD32" s="95"/>
      <c r="AE32" s="95"/>
      <c r="AF32" s="95"/>
      <c r="AG32" s="95"/>
      <c r="AH32" s="95"/>
      <c r="AJ32" s="95"/>
    </row>
    <row r="33" spans="1:36" ht="14" customHeight="1">
      <c r="A33" s="3" t="s">
        <v>1071</v>
      </c>
      <c r="B33" s="2" t="s">
        <v>92</v>
      </c>
      <c r="C33" s="3" t="s">
        <v>56</v>
      </c>
      <c r="D33" s="3" t="s">
        <v>1035</v>
      </c>
      <c r="E33" s="3" t="s">
        <v>1062</v>
      </c>
      <c r="F33" s="3" t="s">
        <v>1036</v>
      </c>
      <c r="G33" s="3" t="s">
        <v>1037</v>
      </c>
      <c r="H33" s="216">
        <v>41.691000000000003</v>
      </c>
      <c r="I33" s="217">
        <v>0.18</v>
      </c>
      <c r="J33" s="216">
        <v>54.875</v>
      </c>
      <c r="K33" s="217" t="s">
        <v>1038</v>
      </c>
      <c r="L33" s="217">
        <v>0.08</v>
      </c>
      <c r="M33" s="217" t="s">
        <v>1038</v>
      </c>
      <c r="N33" s="217" t="s">
        <v>1038</v>
      </c>
      <c r="O33" s="217">
        <v>3.919</v>
      </c>
      <c r="P33" s="217" t="s">
        <v>1038</v>
      </c>
      <c r="Q33" s="217">
        <v>1.7000000000000001E-2</v>
      </c>
      <c r="R33" s="217" t="s">
        <v>1038</v>
      </c>
      <c r="S33" s="217">
        <v>1E-3</v>
      </c>
      <c r="T33" s="217"/>
      <c r="U33" s="217"/>
      <c r="V33" s="217" t="s">
        <v>1038</v>
      </c>
      <c r="W33" s="217" t="s">
        <v>1038</v>
      </c>
      <c r="X33" s="217" t="s">
        <v>1038</v>
      </c>
      <c r="Y33" s="3" t="s">
        <v>1038</v>
      </c>
      <c r="Z33" s="216">
        <v>100.745</v>
      </c>
      <c r="AA33" s="217">
        <v>-1.6501823469344787</v>
      </c>
      <c r="AB33" s="217" t="s">
        <v>1038</v>
      </c>
      <c r="AC33" s="217">
        <v>99.094817653065519</v>
      </c>
      <c r="AD33" s="95"/>
      <c r="AE33" s="95"/>
      <c r="AF33" s="95"/>
      <c r="AG33" s="95"/>
      <c r="AH33" s="95"/>
      <c r="AJ33" s="95"/>
    </row>
    <row r="34" spans="1:36" ht="14" customHeight="1">
      <c r="A34" s="3" t="s">
        <v>1072</v>
      </c>
      <c r="B34" s="2" t="s">
        <v>92</v>
      </c>
      <c r="C34" s="3" t="s">
        <v>56</v>
      </c>
      <c r="D34" s="3" t="s">
        <v>1035</v>
      </c>
      <c r="E34" s="3" t="s">
        <v>1062</v>
      </c>
      <c r="F34" s="3" t="s">
        <v>1036</v>
      </c>
      <c r="G34" s="3" t="s">
        <v>1037</v>
      </c>
      <c r="H34" s="216">
        <v>40.822000000000003</v>
      </c>
      <c r="I34" s="217">
        <v>0.129</v>
      </c>
      <c r="J34" s="216">
        <v>55.137999999999998</v>
      </c>
      <c r="K34" s="217" t="s">
        <v>1038</v>
      </c>
      <c r="L34" s="217">
        <v>0.104</v>
      </c>
      <c r="M34" s="217" t="s">
        <v>1038</v>
      </c>
      <c r="N34" s="217" t="s">
        <v>1038</v>
      </c>
      <c r="O34" s="217">
        <v>4.04</v>
      </c>
      <c r="P34" s="217" t="s">
        <v>1038</v>
      </c>
      <c r="Q34" s="217">
        <v>1.9E-2</v>
      </c>
      <c r="R34" s="217" t="s">
        <v>1038</v>
      </c>
      <c r="S34" s="217">
        <v>0</v>
      </c>
      <c r="T34" s="217"/>
      <c r="U34" s="217"/>
      <c r="V34" s="217" t="s">
        <v>1038</v>
      </c>
      <c r="W34" s="217" t="s">
        <v>1038</v>
      </c>
      <c r="X34" s="217" t="s">
        <v>1038</v>
      </c>
      <c r="Y34" s="3" t="s">
        <v>1038</v>
      </c>
      <c r="Z34" s="216">
        <v>100.233</v>
      </c>
      <c r="AA34" s="217">
        <v>-1.7011320953343438</v>
      </c>
      <c r="AB34" s="217" t="s">
        <v>1038</v>
      </c>
      <c r="AC34" s="217">
        <v>98.53186790466566</v>
      </c>
      <c r="AD34" s="95"/>
      <c r="AE34" s="95"/>
      <c r="AF34" s="95"/>
      <c r="AG34" s="95"/>
      <c r="AH34" s="95"/>
      <c r="AJ34" s="95"/>
    </row>
    <row r="35" spans="1:36" ht="14" customHeight="1">
      <c r="A35" s="3" t="s">
        <v>1073</v>
      </c>
      <c r="B35" s="2" t="s">
        <v>92</v>
      </c>
      <c r="C35" s="3" t="s">
        <v>56</v>
      </c>
      <c r="D35" s="3" t="s">
        <v>1035</v>
      </c>
      <c r="E35" s="3" t="s">
        <v>1062</v>
      </c>
      <c r="F35" s="3" t="s">
        <v>1036</v>
      </c>
      <c r="G35" s="3" t="s">
        <v>1037</v>
      </c>
      <c r="H35" s="216">
        <v>41.621000000000002</v>
      </c>
      <c r="I35" s="217">
        <v>0.122</v>
      </c>
      <c r="J35" s="216">
        <v>55.615000000000002</v>
      </c>
      <c r="K35" s="217" t="s">
        <v>1038</v>
      </c>
      <c r="L35" s="217" t="s">
        <v>1038</v>
      </c>
      <c r="M35" s="217">
        <v>3.1E-2</v>
      </c>
      <c r="N35" s="217" t="s">
        <v>1038</v>
      </c>
      <c r="O35" s="217">
        <v>4.1609999999999996</v>
      </c>
      <c r="P35" s="217" t="s">
        <v>1038</v>
      </c>
      <c r="Q35" s="217">
        <v>1.4E-2</v>
      </c>
      <c r="R35" s="217" t="s">
        <v>1038</v>
      </c>
      <c r="S35" s="217">
        <v>3.0000000000000001E-3</v>
      </c>
      <c r="T35" s="217"/>
      <c r="U35" s="217"/>
      <c r="V35" s="217" t="s">
        <v>1038</v>
      </c>
      <c r="W35" s="217" t="s">
        <v>1038</v>
      </c>
      <c r="X35" s="217" t="s">
        <v>1038</v>
      </c>
      <c r="Y35" s="3" t="s">
        <v>1038</v>
      </c>
      <c r="Z35" s="216">
        <v>101.55000000000001</v>
      </c>
      <c r="AA35" s="217">
        <v>-1.7520818437342089</v>
      </c>
      <c r="AB35" s="217" t="s">
        <v>1038</v>
      </c>
      <c r="AC35" s="217">
        <v>99.797918156265808</v>
      </c>
      <c r="AD35" s="95"/>
      <c r="AE35" s="95"/>
      <c r="AF35" s="95"/>
      <c r="AG35" s="95"/>
      <c r="AH35" s="95"/>
      <c r="AJ35" s="95"/>
    </row>
    <row r="36" spans="1:36" ht="14" customHeight="1">
      <c r="A36" s="3" t="s">
        <v>1074</v>
      </c>
      <c r="B36" s="2" t="s">
        <v>92</v>
      </c>
      <c r="C36" s="3" t="s">
        <v>56</v>
      </c>
      <c r="D36" s="3" t="s">
        <v>1035</v>
      </c>
      <c r="E36" s="3" t="s">
        <v>1062</v>
      </c>
      <c r="F36" s="3" t="s">
        <v>1036</v>
      </c>
      <c r="G36" s="3" t="s">
        <v>1037</v>
      </c>
      <c r="H36" s="216">
        <v>41.296999999999997</v>
      </c>
      <c r="I36" s="217">
        <v>6.6000000000000003E-2</v>
      </c>
      <c r="J36" s="216">
        <v>55.639000000000003</v>
      </c>
      <c r="K36" s="217" t="s">
        <v>1038</v>
      </c>
      <c r="L36" s="217" t="s">
        <v>1038</v>
      </c>
      <c r="M36" s="217" t="s">
        <v>1038</v>
      </c>
      <c r="N36" s="217" t="s">
        <v>1038</v>
      </c>
      <c r="O36" s="217">
        <v>3.931</v>
      </c>
      <c r="P36" s="217" t="s">
        <v>1038</v>
      </c>
      <c r="Q36" s="217">
        <v>1.4999999999999999E-2</v>
      </c>
      <c r="R36" s="217" t="s">
        <v>1038</v>
      </c>
      <c r="S36" s="217">
        <v>0</v>
      </c>
      <c r="T36" s="217"/>
      <c r="U36" s="217"/>
      <c r="V36" s="217" t="s">
        <v>1038</v>
      </c>
      <c r="W36" s="217" t="s">
        <v>1038</v>
      </c>
      <c r="X36" s="217" t="s">
        <v>1038</v>
      </c>
      <c r="Y36" s="3" t="s">
        <v>1038</v>
      </c>
      <c r="Z36" s="216">
        <v>100.93300000000001</v>
      </c>
      <c r="AA36" s="217">
        <v>-1.6552352145443827</v>
      </c>
      <c r="AB36" s="217" t="s">
        <v>1038</v>
      </c>
      <c r="AC36" s="217">
        <v>99.277764785455631</v>
      </c>
      <c r="AD36" s="95"/>
      <c r="AE36" s="95"/>
      <c r="AF36" s="95"/>
      <c r="AG36" s="95"/>
      <c r="AH36" s="95"/>
      <c r="AJ36" s="95"/>
    </row>
    <row r="37" spans="1:36" ht="14" customHeight="1">
      <c r="A37" s="3" t="s">
        <v>1075</v>
      </c>
      <c r="B37" s="2" t="s">
        <v>92</v>
      </c>
      <c r="C37" s="3" t="s">
        <v>56</v>
      </c>
      <c r="D37" s="3" t="s">
        <v>1035</v>
      </c>
      <c r="F37" s="3" t="s">
        <v>1036</v>
      </c>
      <c r="G37" s="3" t="s">
        <v>1037</v>
      </c>
      <c r="H37" s="216">
        <v>42.000999999999998</v>
      </c>
      <c r="I37" s="217">
        <v>0.109</v>
      </c>
      <c r="J37" s="216">
        <v>55.786000000000001</v>
      </c>
      <c r="K37" s="217" t="s">
        <v>1038</v>
      </c>
      <c r="L37" s="217">
        <v>8.1000000000000003E-2</v>
      </c>
      <c r="M37" s="217" t="s">
        <v>1038</v>
      </c>
      <c r="N37" s="217" t="s">
        <v>1038</v>
      </c>
      <c r="O37" s="217">
        <v>4.0919999999999996</v>
      </c>
      <c r="P37" s="217" t="s">
        <v>1038</v>
      </c>
      <c r="Q37" s="217">
        <v>2.1000000000000001E-2</v>
      </c>
      <c r="R37" s="217" t="s">
        <v>1038</v>
      </c>
      <c r="S37" s="217">
        <v>6.0000000000000001E-3</v>
      </c>
      <c r="T37" s="217"/>
      <c r="U37" s="217"/>
      <c r="V37" s="217" t="s">
        <v>1038</v>
      </c>
      <c r="W37" s="217" t="s">
        <v>1038</v>
      </c>
      <c r="X37" s="217" t="s">
        <v>1038</v>
      </c>
      <c r="Y37" s="3" t="s">
        <v>1038</v>
      </c>
      <c r="Z37" s="216">
        <v>102.069</v>
      </c>
      <c r="AA37" s="217">
        <v>-1.7230278549772611</v>
      </c>
      <c r="AB37" s="217" t="s">
        <v>1038</v>
      </c>
      <c r="AC37" s="217">
        <v>100.34597214502274</v>
      </c>
      <c r="AD37" s="95"/>
      <c r="AE37" s="95"/>
      <c r="AF37" s="95"/>
      <c r="AG37" s="95"/>
      <c r="AH37" s="95"/>
      <c r="AJ37" s="95"/>
    </row>
    <row r="38" spans="1:36" ht="14" customHeight="1">
      <c r="A38" s="3" t="s">
        <v>1076</v>
      </c>
      <c r="B38" s="2" t="s">
        <v>92</v>
      </c>
      <c r="C38" s="3" t="s">
        <v>56</v>
      </c>
      <c r="D38" s="3" t="s">
        <v>1035</v>
      </c>
      <c r="E38" s="3" t="s">
        <v>1062</v>
      </c>
      <c r="F38" s="3" t="s">
        <v>1036</v>
      </c>
      <c r="G38" s="3" t="s">
        <v>1037</v>
      </c>
      <c r="H38" s="216">
        <v>41.036000000000001</v>
      </c>
      <c r="I38" s="217">
        <v>0.15</v>
      </c>
      <c r="J38" s="216">
        <v>55.238</v>
      </c>
      <c r="K38" s="217" t="s">
        <v>1038</v>
      </c>
      <c r="L38" s="217">
        <v>0.124</v>
      </c>
      <c r="M38" s="217" t="s">
        <v>1038</v>
      </c>
      <c r="N38" s="217">
        <v>2.4E-2</v>
      </c>
      <c r="O38" s="217">
        <v>4.1059999999999999</v>
      </c>
      <c r="P38" s="217" t="s">
        <v>1038</v>
      </c>
      <c r="Q38" s="217">
        <v>8.9999999999999993E-3</v>
      </c>
      <c r="R38" s="217" t="s">
        <v>1038</v>
      </c>
      <c r="S38" s="217">
        <v>0</v>
      </c>
      <c r="T38" s="217"/>
      <c r="U38" s="217"/>
      <c r="V38" s="217" t="s">
        <v>1038</v>
      </c>
      <c r="W38" s="217" t="s">
        <v>1038</v>
      </c>
      <c r="X38" s="217" t="s">
        <v>1038</v>
      </c>
      <c r="Y38" s="3" t="s">
        <v>1038</v>
      </c>
      <c r="Z38" s="216">
        <v>100.678</v>
      </c>
      <c r="AA38" s="217">
        <v>-1.7289228671888159</v>
      </c>
      <c r="AB38" s="217" t="s">
        <v>1038</v>
      </c>
      <c r="AC38" s="217">
        <v>98.949077132811183</v>
      </c>
      <c r="AD38" s="95"/>
      <c r="AE38" s="95"/>
      <c r="AF38" s="95"/>
      <c r="AG38" s="95"/>
      <c r="AH38" s="95"/>
      <c r="AJ38" s="95"/>
    </row>
    <row r="39" spans="1:36" ht="14" customHeight="1">
      <c r="A39" s="3" t="s">
        <v>1077</v>
      </c>
      <c r="B39" s="2" t="s">
        <v>92</v>
      </c>
      <c r="C39" s="3" t="s">
        <v>56</v>
      </c>
      <c r="D39" s="3" t="s">
        <v>1035</v>
      </c>
      <c r="E39" s="3" t="s">
        <v>1078</v>
      </c>
      <c r="F39" s="3" t="s">
        <v>1036</v>
      </c>
      <c r="G39" s="3" t="s">
        <v>1037</v>
      </c>
      <c r="H39" s="216">
        <v>42.143999999999998</v>
      </c>
      <c r="I39" s="217">
        <v>0.17499999999999999</v>
      </c>
      <c r="J39" s="216">
        <v>55.862000000000002</v>
      </c>
      <c r="K39" s="217" t="s">
        <v>1038</v>
      </c>
      <c r="L39" s="217">
        <v>0.111</v>
      </c>
      <c r="M39" s="217" t="s">
        <v>1038</v>
      </c>
      <c r="N39" s="217" t="s">
        <v>1038</v>
      </c>
      <c r="O39" s="217">
        <v>4.0129999999999999</v>
      </c>
      <c r="P39" s="217" t="s">
        <v>1038</v>
      </c>
      <c r="Q39" s="217">
        <v>1.4999999999999999E-2</v>
      </c>
      <c r="R39" s="217" t="s">
        <v>1038</v>
      </c>
      <c r="S39" s="217">
        <v>2E-3</v>
      </c>
      <c r="T39" s="217"/>
      <c r="U39" s="217"/>
      <c r="V39" s="217" t="s">
        <v>1038</v>
      </c>
      <c r="W39" s="217" t="s">
        <v>1038</v>
      </c>
      <c r="X39" s="217" t="s">
        <v>1038</v>
      </c>
      <c r="Y39" s="3" t="s">
        <v>1038</v>
      </c>
      <c r="Z39" s="216">
        <v>102.30500000000001</v>
      </c>
      <c r="AA39" s="217">
        <v>-1.6897631432120599</v>
      </c>
      <c r="AB39" s="217" t="s">
        <v>1038</v>
      </c>
      <c r="AC39" s="217">
        <v>100.61523685678794</v>
      </c>
      <c r="AD39" s="95"/>
      <c r="AE39" s="95"/>
      <c r="AF39" s="95"/>
      <c r="AG39" s="95"/>
      <c r="AH39" s="95"/>
      <c r="AJ39" s="95"/>
    </row>
    <row r="40" spans="1:36" ht="14" customHeight="1">
      <c r="A40" s="3" t="s">
        <v>1079</v>
      </c>
      <c r="B40" s="2" t="s">
        <v>92</v>
      </c>
      <c r="C40" s="3" t="s">
        <v>56</v>
      </c>
      <c r="D40" s="3" t="s">
        <v>1035</v>
      </c>
      <c r="E40" s="3" t="s">
        <v>1078</v>
      </c>
      <c r="F40" s="3" t="s">
        <v>1036</v>
      </c>
      <c r="G40" s="3" t="s">
        <v>1037</v>
      </c>
      <c r="H40" s="216">
        <v>42.363</v>
      </c>
      <c r="I40" s="217">
        <v>0.16900000000000001</v>
      </c>
      <c r="J40" s="216">
        <v>55.725000000000001</v>
      </c>
      <c r="K40" s="217" t="s">
        <v>1038</v>
      </c>
      <c r="L40" s="217" t="s">
        <v>1038</v>
      </c>
      <c r="M40" s="217">
        <v>3.2000000000000001E-2</v>
      </c>
      <c r="N40" s="217" t="s">
        <v>1038</v>
      </c>
      <c r="O40" s="217">
        <v>3.891</v>
      </c>
      <c r="P40" s="217" t="s">
        <v>1038</v>
      </c>
      <c r="Q40" s="217">
        <v>2.1000000000000001E-2</v>
      </c>
      <c r="R40" s="217" t="s">
        <v>1038</v>
      </c>
      <c r="S40" s="217">
        <v>0</v>
      </c>
      <c r="T40" s="217"/>
      <c r="U40" s="217"/>
      <c r="V40" s="217" t="s">
        <v>1038</v>
      </c>
      <c r="W40" s="217" t="s">
        <v>1038</v>
      </c>
      <c r="X40" s="217" t="s">
        <v>1038</v>
      </c>
      <c r="Y40" s="3" t="s">
        <v>1038</v>
      </c>
      <c r="Z40" s="216">
        <v>102.18</v>
      </c>
      <c r="AA40" s="217">
        <v>-1.6383923225113692</v>
      </c>
      <c r="AB40" s="217" t="s">
        <v>1038</v>
      </c>
      <c r="AC40" s="217">
        <v>100.54160767748864</v>
      </c>
      <c r="AD40" s="95"/>
      <c r="AE40" s="95"/>
      <c r="AF40" s="95"/>
      <c r="AG40" s="95"/>
      <c r="AH40" s="95"/>
      <c r="AJ40" s="95"/>
    </row>
    <row r="41" spans="1:36" ht="14" customHeight="1">
      <c r="A41" s="3" t="s">
        <v>1080</v>
      </c>
      <c r="B41" s="2" t="s">
        <v>92</v>
      </c>
      <c r="C41" s="3" t="s">
        <v>56</v>
      </c>
      <c r="D41" s="3" t="s">
        <v>1035</v>
      </c>
      <c r="E41" s="3" t="s">
        <v>1078</v>
      </c>
      <c r="F41" s="3" t="s">
        <v>1036</v>
      </c>
      <c r="G41" s="3" t="s">
        <v>1037</v>
      </c>
      <c r="H41" s="216">
        <v>41.292999999999999</v>
      </c>
      <c r="I41" s="217">
        <v>0.124</v>
      </c>
      <c r="J41" s="216">
        <v>55.194000000000003</v>
      </c>
      <c r="K41" s="217" t="s">
        <v>1038</v>
      </c>
      <c r="L41" s="217">
        <v>0.27200000000000002</v>
      </c>
      <c r="M41" s="217">
        <v>4.2000000000000003E-2</v>
      </c>
      <c r="N41" s="217">
        <v>3.6999999999999998E-2</v>
      </c>
      <c r="O41" s="217">
        <v>3.8149999999999999</v>
      </c>
      <c r="P41" s="217" t="s">
        <v>1038</v>
      </c>
      <c r="Q41" s="217">
        <v>0.02</v>
      </c>
      <c r="R41" s="217" t="s">
        <v>1038</v>
      </c>
      <c r="S41" s="217">
        <v>0</v>
      </c>
      <c r="T41" s="217"/>
      <c r="U41" s="217"/>
      <c r="V41" s="217" t="s">
        <v>1038</v>
      </c>
      <c r="W41" s="217" t="s">
        <v>1038</v>
      </c>
      <c r="X41" s="217" t="s">
        <v>1038</v>
      </c>
      <c r="Y41" s="3" t="s">
        <v>1038</v>
      </c>
      <c r="Z41" s="216">
        <v>100.77700000000002</v>
      </c>
      <c r="AA41" s="217">
        <v>-1.6063908276486438</v>
      </c>
      <c r="AB41" s="217" t="s">
        <v>1038</v>
      </c>
      <c r="AC41" s="217">
        <v>99.170609172351377</v>
      </c>
      <c r="AD41" s="95"/>
      <c r="AE41" s="95"/>
      <c r="AF41" s="95"/>
      <c r="AG41" s="95"/>
      <c r="AH41" s="95"/>
      <c r="AJ41" s="95"/>
    </row>
    <row r="42" spans="1:36" ht="14" customHeight="1">
      <c r="A42" s="3" t="s">
        <v>1081</v>
      </c>
      <c r="B42" s="2" t="s">
        <v>92</v>
      </c>
      <c r="C42" s="3" t="s">
        <v>56</v>
      </c>
      <c r="D42" s="3" t="s">
        <v>1035</v>
      </c>
      <c r="E42" s="3" t="s">
        <v>1078</v>
      </c>
      <c r="F42" s="3" t="s">
        <v>1036</v>
      </c>
      <c r="G42" s="3" t="s">
        <v>1037</v>
      </c>
      <c r="H42" s="216">
        <v>40.933999999999997</v>
      </c>
      <c r="I42" s="217">
        <v>0.13800000000000001</v>
      </c>
      <c r="J42" s="216">
        <v>55.545000000000002</v>
      </c>
      <c r="K42" s="217" t="s">
        <v>1038</v>
      </c>
      <c r="L42" s="217" t="s">
        <v>1038</v>
      </c>
      <c r="M42" s="217" t="s">
        <v>1038</v>
      </c>
      <c r="N42" s="217" t="s">
        <v>1038</v>
      </c>
      <c r="O42" s="217">
        <v>4.08</v>
      </c>
      <c r="P42" s="217" t="s">
        <v>1038</v>
      </c>
      <c r="Q42" s="217">
        <v>1.7999999999999999E-2</v>
      </c>
      <c r="R42" s="217" t="s">
        <v>1038</v>
      </c>
      <c r="S42" s="217">
        <v>0</v>
      </c>
      <c r="T42" s="217"/>
      <c r="U42" s="217"/>
      <c r="V42" s="217" t="s">
        <v>1038</v>
      </c>
      <c r="W42" s="217" t="s">
        <v>1038</v>
      </c>
      <c r="X42" s="217" t="s">
        <v>1038</v>
      </c>
      <c r="Y42" s="3" t="s">
        <v>1038</v>
      </c>
      <c r="Z42" s="216">
        <v>100.69699999999999</v>
      </c>
      <c r="AA42" s="217">
        <v>-1.7179749873673573</v>
      </c>
      <c r="AB42" s="217" t="s">
        <v>1038</v>
      </c>
      <c r="AC42" s="217">
        <v>98.979025012632633</v>
      </c>
      <c r="AD42" s="95"/>
      <c r="AE42" s="95"/>
      <c r="AF42" s="95"/>
      <c r="AG42" s="95"/>
      <c r="AH42" s="95"/>
      <c r="AJ42" s="95"/>
    </row>
    <row r="43" spans="1:36" ht="14" customHeight="1">
      <c r="A43" s="3" t="s">
        <v>1082</v>
      </c>
      <c r="B43" s="2" t="s">
        <v>92</v>
      </c>
      <c r="C43" s="3" t="s">
        <v>56</v>
      </c>
      <c r="D43" s="3" t="s">
        <v>1035</v>
      </c>
      <c r="E43" s="3" t="s">
        <v>1078</v>
      </c>
      <c r="F43" s="3" t="s">
        <v>1036</v>
      </c>
      <c r="G43" s="3" t="s">
        <v>1037</v>
      </c>
      <c r="H43" s="216">
        <v>41.74</v>
      </c>
      <c r="I43" s="217">
        <v>0.20899999999999999</v>
      </c>
      <c r="J43" s="216">
        <v>55.192999999999998</v>
      </c>
      <c r="K43" s="217" t="s">
        <v>1038</v>
      </c>
      <c r="L43" s="217">
        <v>0.109</v>
      </c>
      <c r="M43" s="217">
        <v>5.7000000000000002E-2</v>
      </c>
      <c r="N43" s="217" t="s">
        <v>1038</v>
      </c>
      <c r="O43" s="217">
        <v>3.7879999999999998</v>
      </c>
      <c r="P43" s="217">
        <v>2.5999999999999999E-2</v>
      </c>
      <c r="Q43" s="217">
        <v>2.5999999999999999E-2</v>
      </c>
      <c r="R43" s="217" t="s">
        <v>1038</v>
      </c>
      <c r="S43" s="217">
        <v>2E-3</v>
      </c>
      <c r="T43" s="217"/>
      <c r="U43" s="217"/>
      <c r="V43" s="217" t="s">
        <v>1038</v>
      </c>
      <c r="W43" s="217" t="s">
        <v>1038</v>
      </c>
      <c r="X43" s="217" t="s">
        <v>1038</v>
      </c>
      <c r="Y43" s="3" t="s">
        <v>1038</v>
      </c>
      <c r="Z43" s="216">
        <v>101.12199999999999</v>
      </c>
      <c r="AA43" s="217">
        <v>-1.5950218755263601</v>
      </c>
      <c r="AB43" s="217">
        <v>-5.8667520386317543E-3</v>
      </c>
      <c r="AC43" s="217">
        <v>99.521111372434987</v>
      </c>
      <c r="AD43" s="95"/>
      <c r="AE43" s="95"/>
      <c r="AF43" s="95"/>
      <c r="AG43" s="95"/>
      <c r="AH43" s="95"/>
      <c r="AJ43" s="95"/>
    </row>
    <row r="44" spans="1:36" ht="14" customHeight="1">
      <c r="A44" s="3" t="s">
        <v>1083</v>
      </c>
      <c r="B44" s="2" t="s">
        <v>92</v>
      </c>
      <c r="C44" s="3" t="s">
        <v>56</v>
      </c>
      <c r="D44" s="3" t="s">
        <v>1035</v>
      </c>
      <c r="E44" s="3" t="s">
        <v>1078</v>
      </c>
      <c r="F44" s="3" t="s">
        <v>1036</v>
      </c>
      <c r="G44" s="3" t="s">
        <v>1037</v>
      </c>
      <c r="H44" s="216">
        <v>39.545999999999999</v>
      </c>
      <c r="I44" s="217">
        <v>0.74299999999999999</v>
      </c>
      <c r="J44" s="216">
        <v>53.938000000000002</v>
      </c>
      <c r="K44" s="217" t="s">
        <v>1038</v>
      </c>
      <c r="L44" s="217">
        <v>0.123</v>
      </c>
      <c r="M44" s="217">
        <v>3.2000000000000001E-2</v>
      </c>
      <c r="N44" s="217" t="s">
        <v>1038</v>
      </c>
      <c r="O44" s="217">
        <v>3.82</v>
      </c>
      <c r="P44" s="217">
        <v>3.7999999999999999E-2</v>
      </c>
      <c r="Q44" s="217">
        <v>3.7999999999999999E-2</v>
      </c>
      <c r="R44" s="217" t="s">
        <v>1038</v>
      </c>
      <c r="S44" s="217">
        <v>0</v>
      </c>
      <c r="T44" s="217"/>
      <c r="U44" s="217"/>
      <c r="V44" s="217" t="s">
        <v>1038</v>
      </c>
      <c r="W44" s="217" t="s">
        <v>1038</v>
      </c>
      <c r="X44" s="217" t="s">
        <v>1038</v>
      </c>
      <c r="Y44" s="3" t="s">
        <v>1038</v>
      </c>
      <c r="Z44" s="216">
        <v>98.24</v>
      </c>
      <c r="AA44" s="217">
        <v>-1.6084961891527705</v>
      </c>
      <c r="AB44" s="217">
        <v>-8.5744837487694864E-3</v>
      </c>
      <c r="AC44" s="217">
        <v>96.622929327098461</v>
      </c>
      <c r="AD44" s="95"/>
      <c r="AE44" s="95"/>
      <c r="AF44" s="95"/>
      <c r="AG44" s="95"/>
      <c r="AH44" s="95"/>
      <c r="AJ44" s="95"/>
    </row>
    <row r="45" spans="1:36" ht="14" customHeight="1">
      <c r="A45" s="3" t="s">
        <v>1084</v>
      </c>
      <c r="B45" s="2" t="s">
        <v>92</v>
      </c>
      <c r="C45" s="3" t="s">
        <v>56</v>
      </c>
      <c r="D45" s="3" t="s">
        <v>1035</v>
      </c>
      <c r="E45" s="3" t="s">
        <v>1078</v>
      </c>
      <c r="F45" s="3" t="s">
        <v>1036</v>
      </c>
      <c r="G45" s="3" t="s">
        <v>1037</v>
      </c>
      <c r="H45" s="216">
        <v>40.509</v>
      </c>
      <c r="I45" s="217">
        <v>0.46</v>
      </c>
      <c r="J45" s="216">
        <v>54.787999999999997</v>
      </c>
      <c r="K45" s="217" t="s">
        <v>1038</v>
      </c>
      <c r="L45" s="217" t="s">
        <v>1038</v>
      </c>
      <c r="M45" s="217">
        <v>4.9000000000000002E-2</v>
      </c>
      <c r="N45" s="217" t="s">
        <v>1038</v>
      </c>
      <c r="O45" s="217">
        <v>3.9860000000000002</v>
      </c>
      <c r="P45" s="217">
        <v>3.2000000000000001E-2</v>
      </c>
      <c r="Q45" s="217">
        <v>3.2000000000000001E-2</v>
      </c>
      <c r="R45" s="217" t="s">
        <v>1038</v>
      </c>
      <c r="S45" s="217">
        <v>7.0000000000000001E-3</v>
      </c>
      <c r="T45" s="217"/>
      <c r="U45" s="217"/>
      <c r="V45" s="217" t="s">
        <v>1038</v>
      </c>
      <c r="W45" s="217" t="s">
        <v>1038</v>
      </c>
      <c r="X45" s="217" t="s">
        <v>1038</v>
      </c>
      <c r="Y45" s="3" t="s">
        <v>1038</v>
      </c>
      <c r="Z45" s="216">
        <v>99.824000000000012</v>
      </c>
      <c r="AA45" s="217">
        <v>-1.6783941910897759</v>
      </c>
      <c r="AB45" s="217">
        <v>-7.2206178937006208E-3</v>
      </c>
      <c r="AC45" s="217">
        <v>98.138385191016539</v>
      </c>
      <c r="AD45" s="95"/>
      <c r="AE45" s="95"/>
      <c r="AF45" s="95"/>
      <c r="AG45" s="95"/>
      <c r="AH45" s="95"/>
      <c r="AJ45" s="95"/>
    </row>
    <row r="46" spans="1:36" ht="14" customHeight="1">
      <c r="B46" s="2"/>
      <c r="H46" s="216"/>
      <c r="I46" s="217"/>
      <c r="J46" s="216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Z46" s="216"/>
      <c r="AA46" s="217"/>
      <c r="AB46" s="217"/>
      <c r="AC46" s="217"/>
      <c r="AD46" s="95"/>
      <c r="AE46" s="95"/>
      <c r="AF46" s="95"/>
      <c r="AG46" s="95"/>
      <c r="AH46" s="95"/>
      <c r="AJ46" s="95"/>
    </row>
    <row r="47" spans="1:36" ht="14" customHeight="1">
      <c r="A47" s="3" t="s">
        <v>286</v>
      </c>
      <c r="B47" s="2" t="s">
        <v>92</v>
      </c>
      <c r="C47" s="3" t="s">
        <v>89</v>
      </c>
      <c r="D47" s="3" t="s">
        <v>1085</v>
      </c>
      <c r="E47" s="3" t="s">
        <v>1086</v>
      </c>
      <c r="F47" s="3" t="s">
        <v>1087</v>
      </c>
      <c r="G47" s="3" t="s">
        <v>1037</v>
      </c>
      <c r="H47" s="216">
        <v>40.81</v>
      </c>
      <c r="I47" s="217">
        <v>0.55200000000000005</v>
      </c>
      <c r="J47" s="216">
        <v>53.920999999999999</v>
      </c>
      <c r="K47" s="217" t="s">
        <v>1038</v>
      </c>
      <c r="L47" s="217" t="s">
        <v>1038</v>
      </c>
      <c r="M47" s="217">
        <v>0.06</v>
      </c>
      <c r="N47" s="217" t="s">
        <v>1038</v>
      </c>
      <c r="O47" s="217">
        <v>4.1260000000000003</v>
      </c>
      <c r="P47" s="217">
        <v>4.7E-2</v>
      </c>
      <c r="Q47" s="217">
        <v>4.7E-2</v>
      </c>
      <c r="R47" s="217" t="s">
        <v>1038</v>
      </c>
      <c r="S47" s="217">
        <v>0</v>
      </c>
      <c r="T47" s="217"/>
      <c r="U47" s="217"/>
      <c r="V47" s="217">
        <v>4.0000000000000001E-3</v>
      </c>
      <c r="W47" s="217" t="s">
        <v>1038</v>
      </c>
      <c r="X47" s="217" t="s">
        <v>1038</v>
      </c>
      <c r="Y47" s="218" t="s">
        <v>1088</v>
      </c>
      <c r="Z47" s="216">
        <f t="shared" ref="Z47:Z53" si="0">SUM(H47:Y47)</f>
        <v>99.567000000000007</v>
      </c>
      <c r="AA47" s="219">
        <f t="shared" ref="AA47:AA53" si="1">-(O47*15.9994/(2*18.9984))</f>
        <v>-1.7373443132053228</v>
      </c>
      <c r="AB47" s="219">
        <f t="shared" ref="AB47:AB53" si="2">-(P47*15.9994/(2*35.4527))</f>
        <v>-1.0605282531372787E-2</v>
      </c>
      <c r="AC47" s="219">
        <f t="shared" ref="AC47:AC55" si="3">Z47+SUM(AA47:AB47)</f>
        <v>97.819050404263308</v>
      </c>
      <c r="AD47" s="95">
        <v>0.99393239745423079</v>
      </c>
      <c r="AE47" s="95">
        <v>6.067602545769251E-3</v>
      </c>
      <c r="AF47" s="95">
        <v>0</v>
      </c>
      <c r="AG47" s="220"/>
      <c r="AH47" s="95"/>
      <c r="AJ47" s="95"/>
    </row>
    <row r="48" spans="1:36" ht="14" customHeight="1">
      <c r="A48" s="3" t="s">
        <v>288</v>
      </c>
      <c r="B48" s="2" t="s">
        <v>92</v>
      </c>
      <c r="C48" s="3" t="s">
        <v>89</v>
      </c>
      <c r="D48" s="3" t="s">
        <v>1085</v>
      </c>
      <c r="E48" s="3" t="s">
        <v>1086</v>
      </c>
      <c r="F48" s="3" t="s">
        <v>1087</v>
      </c>
      <c r="G48" s="3" t="s">
        <v>1037</v>
      </c>
      <c r="H48" s="216">
        <v>40.237000000000002</v>
      </c>
      <c r="I48" s="217">
        <v>0.46</v>
      </c>
      <c r="J48" s="216">
        <v>54.121000000000002</v>
      </c>
      <c r="K48" s="217" t="s">
        <v>1038</v>
      </c>
      <c r="L48" s="217" t="s">
        <v>1038</v>
      </c>
      <c r="M48" s="217">
        <v>7.4999999999999997E-2</v>
      </c>
      <c r="N48" s="217" t="s">
        <v>1038</v>
      </c>
      <c r="O48" s="217">
        <v>4.1779999999999999</v>
      </c>
      <c r="P48" s="217">
        <v>5.8000000000000003E-2</v>
      </c>
      <c r="Q48" s="217">
        <v>5.8000000000000003E-2</v>
      </c>
      <c r="R48" s="217" t="s">
        <v>1038</v>
      </c>
      <c r="S48" s="217">
        <v>0</v>
      </c>
      <c r="T48" s="217"/>
      <c r="U48" s="217"/>
      <c r="V48" s="217">
        <v>8.0000000000000002E-3</v>
      </c>
      <c r="W48" s="217" t="s">
        <v>1038</v>
      </c>
      <c r="X48" s="217" t="s">
        <v>1038</v>
      </c>
      <c r="Y48" s="218" t="s">
        <v>1089</v>
      </c>
      <c r="Z48" s="216">
        <f t="shared" si="0"/>
        <v>99.195000000000022</v>
      </c>
      <c r="AA48" s="219">
        <f t="shared" si="1"/>
        <v>-1.7592400728482396</v>
      </c>
      <c r="AB48" s="219">
        <f t="shared" si="2"/>
        <v>-1.3087369932332376E-2</v>
      </c>
      <c r="AC48" s="219">
        <f t="shared" si="3"/>
        <v>97.422672557219443</v>
      </c>
      <c r="AD48" s="95">
        <v>0.99261531164949868</v>
      </c>
      <c r="AE48" s="95">
        <v>7.3846883505013922E-3</v>
      </c>
      <c r="AF48" s="95">
        <v>0</v>
      </c>
      <c r="AG48" s="96">
        <v>-0.266684996409362</v>
      </c>
      <c r="AH48" s="95"/>
      <c r="AJ48" s="95"/>
    </row>
    <row r="49" spans="1:36" ht="14" customHeight="1">
      <c r="A49" s="3" t="s">
        <v>289</v>
      </c>
      <c r="B49" s="2" t="s">
        <v>92</v>
      </c>
      <c r="C49" s="3" t="s">
        <v>89</v>
      </c>
      <c r="D49" s="3" t="s">
        <v>1085</v>
      </c>
      <c r="E49" s="3" t="s">
        <v>1086</v>
      </c>
      <c r="F49" s="3" t="s">
        <v>1087</v>
      </c>
      <c r="G49" s="3" t="s">
        <v>1037</v>
      </c>
      <c r="H49" s="216">
        <v>41.180999999999997</v>
      </c>
      <c r="I49" s="217">
        <v>0.54300000000000004</v>
      </c>
      <c r="J49" s="216">
        <v>53.531999999999996</v>
      </c>
      <c r="K49" s="217" t="s">
        <v>1038</v>
      </c>
      <c r="L49" s="217" t="s">
        <v>1038</v>
      </c>
      <c r="M49" s="217">
        <v>0.121</v>
      </c>
      <c r="N49" s="217" t="s">
        <v>1038</v>
      </c>
      <c r="O49" s="217">
        <v>3.383</v>
      </c>
      <c r="P49" s="217">
        <v>0.216</v>
      </c>
      <c r="Q49" s="217">
        <v>0.216</v>
      </c>
      <c r="R49" s="217" t="s">
        <v>1038</v>
      </c>
      <c r="S49" s="217">
        <v>0</v>
      </c>
      <c r="T49" s="217"/>
      <c r="U49" s="217"/>
      <c r="V49" s="217">
        <v>0</v>
      </c>
      <c r="W49" s="217" t="s">
        <v>1038</v>
      </c>
      <c r="X49" s="217" t="s">
        <v>1038</v>
      </c>
      <c r="Y49" s="218">
        <v>0.30399999999999999</v>
      </c>
      <c r="Z49" s="216">
        <f t="shared" si="0"/>
        <v>99.495999999999981</v>
      </c>
      <c r="AA49" s="219">
        <f t="shared" si="1"/>
        <v>-1.4244875936921002</v>
      </c>
      <c r="AB49" s="219">
        <f t="shared" si="2"/>
        <v>-4.8739170782479191E-2</v>
      </c>
      <c r="AC49" s="219">
        <f t="shared" si="3"/>
        <v>98.022773235525406</v>
      </c>
      <c r="AD49" s="95">
        <v>0.91778612673580584</v>
      </c>
      <c r="AE49" s="95">
        <v>3.1403994005679253E-2</v>
      </c>
      <c r="AF49" s="95">
        <v>5.0809879258514906E-2</v>
      </c>
      <c r="AG49" s="221">
        <v>8.8724446386210326E-2</v>
      </c>
      <c r="AH49" s="93">
        <f t="shared" ref="AH49:AH53" si="4">AD49/AF49</f>
        <v>18.063143233744249</v>
      </c>
      <c r="AI49" s="216">
        <f>AD49/AE49</f>
        <v>29.225140170700225</v>
      </c>
      <c r="AJ49" s="95">
        <f t="shared" ref="AJ49:AJ53" si="5">AE49/AF49</f>
        <v>0.61806866034653007</v>
      </c>
    </row>
    <row r="50" spans="1:36" ht="14" customHeight="1">
      <c r="A50" s="3" t="s">
        <v>1090</v>
      </c>
      <c r="B50" s="2" t="s">
        <v>92</v>
      </c>
      <c r="C50" s="3" t="s">
        <v>89</v>
      </c>
      <c r="D50" s="3" t="s">
        <v>1085</v>
      </c>
      <c r="E50" s="3" t="s">
        <v>1086</v>
      </c>
      <c r="F50" s="3" t="s">
        <v>1087</v>
      </c>
      <c r="G50" s="3" t="s">
        <v>1037</v>
      </c>
      <c r="H50" s="216">
        <v>40.844000000000001</v>
      </c>
      <c r="I50" s="217">
        <v>0.53600000000000003</v>
      </c>
      <c r="J50" s="216">
        <v>53.545999999999999</v>
      </c>
      <c r="K50" s="217" t="s">
        <v>1038</v>
      </c>
      <c r="L50" s="217" t="s">
        <v>1038</v>
      </c>
      <c r="M50" s="217">
        <v>8.7999999999999995E-2</v>
      </c>
      <c r="N50" s="217" t="s">
        <v>1038</v>
      </c>
      <c r="O50" s="217">
        <v>3.423</v>
      </c>
      <c r="P50" s="217">
        <v>6.7000000000000004E-2</v>
      </c>
      <c r="Q50" s="217">
        <v>6.7000000000000004E-2</v>
      </c>
      <c r="R50" s="217" t="s">
        <v>1038</v>
      </c>
      <c r="S50" s="217">
        <v>0</v>
      </c>
      <c r="T50" s="217"/>
      <c r="U50" s="217"/>
      <c r="V50" s="217">
        <v>2E-3</v>
      </c>
      <c r="W50" s="217" t="s">
        <v>1038</v>
      </c>
      <c r="X50" s="217" t="s">
        <v>1038</v>
      </c>
      <c r="Y50" s="218" t="s">
        <v>1089</v>
      </c>
      <c r="Z50" s="216">
        <f t="shared" si="0"/>
        <v>98.572999999999979</v>
      </c>
      <c r="AA50" s="219">
        <f t="shared" si="1"/>
        <v>-1.4413304857251137</v>
      </c>
      <c r="AB50" s="219">
        <f t="shared" si="2"/>
        <v>-1.5118168714935676E-2</v>
      </c>
      <c r="AC50" s="219">
        <f t="shared" si="3"/>
        <v>97.116551345559927</v>
      </c>
      <c r="AD50" s="95">
        <v>0.9334051839477141</v>
      </c>
      <c r="AE50" s="95">
        <v>9.7910609913836096E-3</v>
      </c>
      <c r="AF50" s="95">
        <v>5.6803755060902288E-2</v>
      </c>
      <c r="AG50" s="96">
        <v>9.8684367690533015E-2</v>
      </c>
      <c r="AH50" s="93">
        <f t="shared" si="4"/>
        <v>16.432103528137556</v>
      </c>
      <c r="AI50" s="216">
        <f>AD50/AE50</f>
        <v>95.332383770169045</v>
      </c>
      <c r="AJ50" s="95">
        <f t="shared" si="5"/>
        <v>0.17236643917089811</v>
      </c>
    </row>
    <row r="51" spans="1:36" ht="14" customHeight="1">
      <c r="A51" s="3" t="s">
        <v>1091</v>
      </c>
      <c r="B51" s="2" t="s">
        <v>92</v>
      </c>
      <c r="C51" s="3" t="s">
        <v>89</v>
      </c>
      <c r="D51" s="3" t="s">
        <v>1085</v>
      </c>
      <c r="E51" s="3" t="s">
        <v>1086</v>
      </c>
      <c r="F51" s="3" t="s">
        <v>1087</v>
      </c>
      <c r="G51" s="3" t="s">
        <v>1037</v>
      </c>
      <c r="H51" s="216">
        <v>40.543999999999997</v>
      </c>
      <c r="I51" s="217">
        <v>0.56299999999999994</v>
      </c>
      <c r="J51" s="216">
        <v>53.399000000000001</v>
      </c>
      <c r="K51" s="217" t="s">
        <v>1038</v>
      </c>
      <c r="L51" s="217" t="s">
        <v>1038</v>
      </c>
      <c r="M51" s="217">
        <v>0.111</v>
      </c>
      <c r="N51" s="217" t="s">
        <v>1038</v>
      </c>
      <c r="O51" s="217">
        <v>3.2160000000000002</v>
      </c>
      <c r="P51" s="217">
        <v>5.3999999999999999E-2</v>
      </c>
      <c r="Q51" s="217">
        <v>5.3999999999999999E-2</v>
      </c>
      <c r="R51" s="217" t="s">
        <v>1038</v>
      </c>
      <c r="S51" s="217">
        <v>2.5000000000000001E-2</v>
      </c>
      <c r="T51" s="217"/>
      <c r="U51" s="217"/>
      <c r="V51" s="217">
        <v>7.0000000000000001E-3</v>
      </c>
      <c r="W51" s="217" t="s">
        <v>1038</v>
      </c>
      <c r="X51" s="217" t="s">
        <v>1038</v>
      </c>
      <c r="Y51" s="218" t="s">
        <v>1089</v>
      </c>
      <c r="Z51" s="216">
        <f t="shared" si="0"/>
        <v>97.973000000000013</v>
      </c>
      <c r="AA51" s="219">
        <f t="shared" si="1"/>
        <v>-1.3541685194542699</v>
      </c>
      <c r="AB51" s="219">
        <f t="shared" si="2"/>
        <v>-1.2184792695619798E-2</v>
      </c>
      <c r="AC51" s="219">
        <f t="shared" si="3"/>
        <v>96.60664668785013</v>
      </c>
      <c r="AD51" s="95">
        <v>0.88131268861824874</v>
      </c>
      <c r="AE51" s="95">
        <v>7.930478397434132E-3</v>
      </c>
      <c r="AF51" s="95">
        <v>0.11075683298431713</v>
      </c>
      <c r="AG51" s="96">
        <v>0.19146578302733219</v>
      </c>
      <c r="AH51" s="96">
        <f t="shared" si="4"/>
        <v>7.9571857091926805</v>
      </c>
      <c r="AI51" s="100">
        <f>AD51/AE51</f>
        <v>111.12982653144773</v>
      </c>
      <c r="AJ51" s="95">
        <f t="shared" si="5"/>
        <v>7.1602610726121674E-2</v>
      </c>
    </row>
    <row r="52" spans="1:36" ht="14" customHeight="1">
      <c r="A52" s="3" t="s">
        <v>1092</v>
      </c>
      <c r="B52" s="2" t="s">
        <v>92</v>
      </c>
      <c r="C52" s="3" t="s">
        <v>89</v>
      </c>
      <c r="D52" s="3" t="s">
        <v>1085</v>
      </c>
      <c r="E52" s="3" t="s">
        <v>1086</v>
      </c>
      <c r="F52" s="3" t="s">
        <v>1087</v>
      </c>
      <c r="G52" s="3" t="s">
        <v>1037</v>
      </c>
      <c r="H52" s="216">
        <v>41.835999999999999</v>
      </c>
      <c r="I52" s="217">
        <v>0.36299999999999999</v>
      </c>
      <c r="J52" s="216">
        <v>54.219000000000001</v>
      </c>
      <c r="K52" s="217" t="s">
        <v>1038</v>
      </c>
      <c r="L52" s="217" t="s">
        <v>1038</v>
      </c>
      <c r="M52" s="217">
        <v>0.15</v>
      </c>
      <c r="N52" s="217" t="s">
        <v>1038</v>
      </c>
      <c r="O52" s="217">
        <v>3.1930000000000001</v>
      </c>
      <c r="P52" s="217">
        <v>7.0999999999999994E-2</v>
      </c>
      <c r="Q52" s="217">
        <v>7.0999999999999994E-2</v>
      </c>
      <c r="R52" s="217" t="s">
        <v>1038</v>
      </c>
      <c r="S52" s="217">
        <v>1.6E-2</v>
      </c>
      <c r="T52" s="217"/>
      <c r="U52" s="217"/>
      <c r="V52" s="217">
        <v>0</v>
      </c>
      <c r="W52" s="217" t="s">
        <v>1038</v>
      </c>
      <c r="X52" s="217" t="s">
        <v>1038</v>
      </c>
      <c r="Y52" s="218" t="s">
        <v>1089</v>
      </c>
      <c r="Z52" s="216">
        <f t="shared" si="0"/>
        <v>99.919000000000011</v>
      </c>
      <c r="AA52" s="219">
        <f t="shared" si="1"/>
        <v>-1.3444838565352872</v>
      </c>
      <c r="AB52" s="219">
        <f t="shared" si="2"/>
        <v>-1.6020745951648249E-2</v>
      </c>
      <c r="AC52" s="219">
        <f t="shared" si="3"/>
        <v>98.55849539751307</v>
      </c>
      <c r="AD52" s="95">
        <v>0.85572572786865386</v>
      </c>
      <c r="AE52" s="95">
        <v>1.0197310971076599E-2</v>
      </c>
      <c r="AF52" s="95">
        <v>0.13407696116026954</v>
      </c>
      <c r="AG52" s="96">
        <v>0.23700260159093439</v>
      </c>
      <c r="AH52" s="96">
        <f t="shared" si="4"/>
        <v>6.3823472762464988</v>
      </c>
      <c r="AI52" s="216">
        <f>AD52/AE52</f>
        <v>83.916802213427957</v>
      </c>
      <c r="AJ52" s="95">
        <f t="shared" si="5"/>
        <v>7.6055654027593858E-2</v>
      </c>
    </row>
    <row r="53" spans="1:36" ht="14" customHeight="1">
      <c r="A53" s="3" t="s">
        <v>1093</v>
      </c>
      <c r="B53" s="2" t="s">
        <v>92</v>
      </c>
      <c r="C53" s="3" t="s">
        <v>89</v>
      </c>
      <c r="D53" s="3" t="s">
        <v>1085</v>
      </c>
      <c r="E53" s="3" t="s">
        <v>1086</v>
      </c>
      <c r="F53" s="3" t="s">
        <v>1087</v>
      </c>
      <c r="G53" s="3" t="s">
        <v>1037</v>
      </c>
      <c r="H53" s="216">
        <v>41.353999999999999</v>
      </c>
      <c r="I53" s="217">
        <v>0.46500000000000002</v>
      </c>
      <c r="J53" s="216">
        <v>53.106999999999999</v>
      </c>
      <c r="K53" s="217" t="s">
        <v>1038</v>
      </c>
      <c r="L53" s="217" t="s">
        <v>1038</v>
      </c>
      <c r="M53" s="217">
        <v>0.159</v>
      </c>
      <c r="N53" s="217" t="s">
        <v>1038</v>
      </c>
      <c r="O53" s="217">
        <v>2.9540000000000002</v>
      </c>
      <c r="P53" s="217">
        <v>6.0999999999999999E-2</v>
      </c>
      <c r="Q53" s="217">
        <v>6.0999999999999999E-2</v>
      </c>
      <c r="R53" s="217" t="s">
        <v>1038</v>
      </c>
      <c r="S53" s="217">
        <v>0</v>
      </c>
      <c r="T53" s="217"/>
      <c r="U53" s="217"/>
      <c r="V53" s="217">
        <v>0</v>
      </c>
      <c r="W53" s="217" t="s">
        <v>1038</v>
      </c>
      <c r="X53" s="217" t="s">
        <v>1038</v>
      </c>
      <c r="Y53" s="218" t="s">
        <v>1088</v>
      </c>
      <c r="Z53" s="216">
        <f t="shared" si="0"/>
        <v>98.161000000000016</v>
      </c>
      <c r="AA53" s="219">
        <f t="shared" si="1"/>
        <v>-1.2438475766380328</v>
      </c>
      <c r="AB53" s="219">
        <f t="shared" si="2"/>
        <v>-1.3764302859866807E-2</v>
      </c>
      <c r="AC53" s="219">
        <f t="shared" si="3"/>
        <v>96.903388120502115</v>
      </c>
      <c r="AD53" s="95">
        <v>0.80254875664131031</v>
      </c>
      <c r="AE53" s="95">
        <v>8.8814201202545105E-3</v>
      </c>
      <c r="AF53" s="95">
        <v>0.18856982323843519</v>
      </c>
      <c r="AG53" s="96">
        <v>0.32881065692230804</v>
      </c>
      <c r="AH53" s="96">
        <f t="shared" si="4"/>
        <v>4.2559766078082157</v>
      </c>
      <c r="AI53" s="216">
        <f>AD53/AE53</f>
        <v>90.362661125675032</v>
      </c>
      <c r="AJ53" s="95">
        <f t="shared" si="5"/>
        <v>4.7098840990185846E-2</v>
      </c>
    </row>
    <row r="54" spans="1:36" ht="14" customHeight="1">
      <c r="A54" s="3" t="s">
        <v>284</v>
      </c>
      <c r="B54" s="2" t="s">
        <v>92</v>
      </c>
      <c r="C54" s="3" t="s">
        <v>89</v>
      </c>
      <c r="D54" s="3" t="s">
        <v>1085</v>
      </c>
      <c r="E54" s="3" t="s">
        <v>1086</v>
      </c>
      <c r="F54" s="3" t="s">
        <v>1087</v>
      </c>
      <c r="G54" s="3" t="s">
        <v>1094</v>
      </c>
      <c r="H54" s="216">
        <v>41.731000000000002</v>
      </c>
      <c r="I54" s="217">
        <v>0.53500000000000003</v>
      </c>
      <c r="J54" s="216">
        <v>54.679000000000002</v>
      </c>
      <c r="K54" s="217" t="s">
        <v>1038</v>
      </c>
      <c r="L54" s="217" t="s">
        <v>1038</v>
      </c>
      <c r="M54" s="217">
        <v>0.05</v>
      </c>
      <c r="N54" s="217" t="s">
        <v>1038</v>
      </c>
      <c r="O54" s="217">
        <v>3.3250000000000002</v>
      </c>
      <c r="P54" s="217">
        <v>3.5000000000000003E-2</v>
      </c>
      <c r="Q54" s="217">
        <v>3.5000000000000003E-2</v>
      </c>
      <c r="R54" s="217" t="s">
        <v>1038</v>
      </c>
      <c r="S54" s="217">
        <v>6.0000000000000001E-3</v>
      </c>
      <c r="T54" s="217"/>
      <c r="U54" s="217"/>
      <c r="V54" s="217">
        <v>5.0000000000000001E-3</v>
      </c>
      <c r="W54" s="217" t="s">
        <v>1038</v>
      </c>
      <c r="X54" s="217" t="s">
        <v>1038</v>
      </c>
      <c r="Y54" s="218" t="s">
        <v>1088</v>
      </c>
      <c r="Z54" s="216">
        <f>SUM(H54:Y54)</f>
        <v>100.40099999999998</v>
      </c>
      <c r="AA54" s="222">
        <f>-(O54*15.9994/(2*18.9984))</f>
        <v>-1.4000654002442312</v>
      </c>
      <c r="AB54" s="222">
        <f>-(P54*15.9994/(2*35.4527))</f>
        <v>-7.8975508212350536E-3</v>
      </c>
      <c r="AC54" s="222">
        <f>Z54+SUM(AA54:AB54)</f>
        <v>98.993037048934511</v>
      </c>
      <c r="AD54" s="95">
        <v>0.88798544304457927</v>
      </c>
      <c r="AE54" s="95">
        <v>5.009263587546854E-3</v>
      </c>
      <c r="AF54" s="95">
        <v>0.10700529336787387</v>
      </c>
      <c r="AG54" s="96">
        <v>0.18981288555291159</v>
      </c>
      <c r="AH54" s="96">
        <f>AD54/AF54</f>
        <v>8.2985188404817603</v>
      </c>
      <c r="AI54" s="217"/>
      <c r="AJ54" s="95">
        <f>AE54/AF54</f>
        <v>4.6813231662526163E-2</v>
      </c>
    </row>
    <row r="55" spans="1:36" ht="14" customHeight="1">
      <c r="A55" s="3" t="s">
        <v>292</v>
      </c>
      <c r="B55" s="2" t="s">
        <v>92</v>
      </c>
      <c r="C55" s="3" t="s">
        <v>89</v>
      </c>
      <c r="D55" s="3" t="s">
        <v>1085</v>
      </c>
      <c r="E55" s="3" t="s">
        <v>1086</v>
      </c>
      <c r="F55" s="3" t="s">
        <v>1087</v>
      </c>
      <c r="G55" s="3" t="s">
        <v>1094</v>
      </c>
      <c r="H55" s="216">
        <v>40.968000000000004</v>
      </c>
      <c r="I55" s="217">
        <v>0.61299999999999999</v>
      </c>
      <c r="J55" s="216">
        <v>54.588000000000001</v>
      </c>
      <c r="K55" s="217" t="s">
        <v>1038</v>
      </c>
      <c r="L55" s="217" t="s">
        <v>1038</v>
      </c>
      <c r="M55" s="217">
        <v>5.8000000000000003E-2</v>
      </c>
      <c r="N55" s="217" t="s">
        <v>1038</v>
      </c>
      <c r="O55" s="217">
        <v>3.7530000000000001</v>
      </c>
      <c r="P55" s="217">
        <v>0.06</v>
      </c>
      <c r="Q55" s="217">
        <v>0.06</v>
      </c>
      <c r="R55" s="217" t="s">
        <v>1038</v>
      </c>
      <c r="S55" s="217">
        <v>0</v>
      </c>
      <c r="T55" s="217"/>
      <c r="U55" s="217"/>
      <c r="V55" s="217">
        <v>4.0000000000000001E-3</v>
      </c>
      <c r="W55" s="217" t="s">
        <v>1038</v>
      </c>
      <c r="X55" s="217" t="s">
        <v>1038</v>
      </c>
      <c r="Y55" s="218" t="s">
        <v>1088</v>
      </c>
      <c r="Z55" s="216">
        <f>SUM(H55:Y55)</f>
        <v>100.10400000000003</v>
      </c>
      <c r="AA55" s="222">
        <f>-(O55*15.9994/(2*18.9984))</f>
        <v>-1.5802843449974735</v>
      </c>
      <c r="AB55" s="222">
        <f>-(P55*15.9994/(2*35.4527))</f>
        <v>-1.3538658550688663E-2</v>
      </c>
      <c r="AC55" s="222">
        <f t="shared" si="3"/>
        <v>98.510176996451861</v>
      </c>
      <c r="AD55" s="95">
        <v>0.9915050803849319</v>
      </c>
      <c r="AE55" s="95">
        <v>8.4949196150680851E-3</v>
      </c>
      <c r="AF55" s="95">
        <v>0</v>
      </c>
      <c r="AG55" s="96">
        <v>-3.7850182683112979E-2</v>
      </c>
      <c r="AH55" s="96"/>
      <c r="AJ55" s="95"/>
    </row>
    <row r="56" spans="1:36" ht="14" customHeight="1">
      <c r="A56" s="223" t="s">
        <v>281</v>
      </c>
      <c r="B56" s="2"/>
      <c r="H56" s="216"/>
      <c r="I56" s="217"/>
      <c r="J56" s="216"/>
      <c r="K56" s="217"/>
      <c r="L56" s="217"/>
      <c r="M56" s="217"/>
      <c r="N56" s="217"/>
      <c r="O56" s="217"/>
      <c r="P56" s="217">
        <f>AVERAGE(P47:P55)</f>
        <v>7.4333333333333335E-2</v>
      </c>
      <c r="Q56" s="217">
        <f t="shared" ref="Q56" si="6">AVERAGE(Q47:Q55)</f>
        <v>7.4333333333333335E-2</v>
      </c>
      <c r="R56" s="217"/>
      <c r="S56" s="217">
        <f>AVERAGE(S47:S55)</f>
        <v>5.2222222222222218E-3</v>
      </c>
      <c r="T56" s="217"/>
      <c r="U56" s="217"/>
      <c r="V56" s="217"/>
      <c r="W56" s="217"/>
      <c r="X56" s="217"/>
      <c r="Y56" s="218"/>
      <c r="Z56" s="216"/>
      <c r="AA56" s="222"/>
      <c r="AB56" s="222"/>
      <c r="AC56" s="222"/>
      <c r="AD56" s="95"/>
      <c r="AE56" s="95"/>
      <c r="AF56" s="95"/>
      <c r="AG56" s="96"/>
      <c r="AH56" s="96"/>
      <c r="AJ56" s="95"/>
    </row>
    <row r="57" spans="1:36" ht="14" customHeight="1">
      <c r="A57" s="223" t="s">
        <v>204</v>
      </c>
      <c r="B57" s="2"/>
      <c r="H57" s="216"/>
      <c r="I57" s="217"/>
      <c r="J57" s="216"/>
      <c r="K57" s="217"/>
      <c r="L57" s="217"/>
      <c r="M57" s="217"/>
      <c r="N57" s="217"/>
      <c r="O57" s="217"/>
      <c r="P57" s="217">
        <f>_xlfn.STDEV.S(P47:P55)</f>
        <v>5.4189482374350104E-2</v>
      </c>
      <c r="Q57" s="217">
        <f t="shared" ref="Q57:S57" si="7">_xlfn.STDEV.S(Q47:Q55)</f>
        <v>5.4189482374350104E-2</v>
      </c>
      <c r="R57" s="217"/>
      <c r="S57" s="217">
        <f t="shared" si="7"/>
        <v>9.1621200845898362E-3</v>
      </c>
      <c r="T57" s="217"/>
      <c r="U57" s="217"/>
      <c r="V57" s="217"/>
      <c r="W57" s="217"/>
      <c r="X57" s="217"/>
      <c r="Y57" s="218"/>
      <c r="Z57" s="216"/>
      <c r="AA57" s="222"/>
      <c r="AB57" s="222"/>
      <c r="AC57" s="222"/>
      <c r="AD57" s="95"/>
      <c r="AE57" s="95"/>
      <c r="AF57" s="95"/>
      <c r="AG57" s="96"/>
      <c r="AH57" s="96"/>
      <c r="AJ57" s="95"/>
    </row>
    <row r="58" spans="1:36" ht="14" customHeight="1">
      <c r="H58" s="216"/>
      <c r="I58" s="217"/>
      <c r="J58" s="216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8"/>
      <c r="Z58" s="216"/>
      <c r="AA58" s="219"/>
      <c r="AB58" s="219"/>
      <c r="AC58" s="219"/>
      <c r="AD58" s="95"/>
      <c r="AF58" s="95"/>
      <c r="AG58" s="96"/>
      <c r="AH58" s="96"/>
      <c r="AJ58" s="95"/>
    </row>
    <row r="59" spans="1:36" ht="14" customHeight="1">
      <c r="A59" s="3" t="s">
        <v>399</v>
      </c>
      <c r="B59" s="3" t="s">
        <v>93</v>
      </c>
      <c r="C59" s="3" t="s">
        <v>88</v>
      </c>
      <c r="D59" s="3" t="s">
        <v>1085</v>
      </c>
      <c r="E59" s="3" t="s">
        <v>1086</v>
      </c>
      <c r="F59" s="3" t="s">
        <v>1087</v>
      </c>
      <c r="G59" s="3" t="s">
        <v>1037</v>
      </c>
      <c r="H59" s="216">
        <v>40.917999999999999</v>
      </c>
      <c r="I59" s="217">
        <v>0.36899999999999999</v>
      </c>
      <c r="J59" s="216">
        <v>52.917999999999999</v>
      </c>
      <c r="K59" s="217" t="s">
        <v>1038</v>
      </c>
      <c r="L59" s="217" t="s">
        <v>1038</v>
      </c>
      <c r="M59" s="217">
        <v>0.218</v>
      </c>
      <c r="N59" s="217" t="s">
        <v>1038</v>
      </c>
      <c r="O59" s="217">
        <v>3.98</v>
      </c>
      <c r="P59" s="217" t="s">
        <v>1038</v>
      </c>
      <c r="Q59" s="217">
        <v>0</v>
      </c>
      <c r="R59" s="217" t="s">
        <v>1038</v>
      </c>
      <c r="S59" s="217">
        <v>0</v>
      </c>
      <c r="T59" s="217"/>
      <c r="U59" s="217"/>
      <c r="V59" s="224" t="s">
        <v>1038</v>
      </c>
      <c r="W59" s="217" t="s">
        <v>1038</v>
      </c>
      <c r="X59" s="217" t="s">
        <v>1038</v>
      </c>
      <c r="Y59" s="218" t="s">
        <v>1088</v>
      </c>
      <c r="Z59" s="216">
        <f t="shared" ref="Z59:Z66" si="8">SUM(H59:Y59)</f>
        <v>98.403000000000006</v>
      </c>
      <c r="AA59" s="219">
        <f t="shared" ref="AA59:AA66" si="9">-(O59*15.9994/(2*18.9984))</f>
        <v>-1.675867757284824</v>
      </c>
      <c r="AB59" s="219"/>
      <c r="AC59" s="219">
        <f t="shared" ref="AC59:AC61" si="10">Z59+SUM(AA59:AB59)</f>
        <v>96.727132242715186</v>
      </c>
      <c r="AD59" s="95"/>
      <c r="AE59" s="95"/>
      <c r="AF59" s="95"/>
      <c r="AG59" s="96"/>
      <c r="AH59" s="96"/>
      <c r="AJ59" s="95"/>
    </row>
    <row r="60" spans="1:36" ht="14" customHeight="1">
      <c r="A60" s="3" t="s">
        <v>402</v>
      </c>
      <c r="B60" s="3" t="s">
        <v>93</v>
      </c>
      <c r="C60" s="3" t="s">
        <v>88</v>
      </c>
      <c r="D60" s="3" t="s">
        <v>1085</v>
      </c>
      <c r="E60" s="3" t="s">
        <v>1086</v>
      </c>
      <c r="F60" s="3" t="s">
        <v>1087</v>
      </c>
      <c r="G60" s="3" t="s">
        <v>1037</v>
      </c>
      <c r="H60" s="216">
        <v>41.8</v>
      </c>
      <c r="I60" s="217">
        <v>0.34399999999999997</v>
      </c>
      <c r="J60" s="216">
        <v>53.720999999999997</v>
      </c>
      <c r="K60" s="217">
        <v>0.13600000000000001</v>
      </c>
      <c r="L60" s="217">
        <v>0.33200000000000002</v>
      </c>
      <c r="M60" s="217">
        <v>9.8000000000000004E-2</v>
      </c>
      <c r="N60" s="217" t="s">
        <v>1038</v>
      </c>
      <c r="O60" s="217">
        <v>2.8620000000000001</v>
      </c>
      <c r="P60" s="217">
        <v>1.0609999999999999</v>
      </c>
      <c r="Q60" s="217">
        <v>1.0609999999999999</v>
      </c>
      <c r="R60" s="217" t="s">
        <v>1038</v>
      </c>
      <c r="S60" s="217">
        <v>4.0000000000000001E-3</v>
      </c>
      <c r="T60" s="217"/>
      <c r="U60" s="217"/>
      <c r="V60" s="224" t="s">
        <v>1038</v>
      </c>
      <c r="W60" s="217" t="s">
        <v>1038</v>
      </c>
      <c r="X60" s="217" t="s">
        <v>1038</v>
      </c>
      <c r="Y60" s="218" t="s">
        <v>1088</v>
      </c>
      <c r="Z60" s="216">
        <f t="shared" si="8"/>
        <v>101.419</v>
      </c>
      <c r="AA60" s="219">
        <f t="shared" si="9"/>
        <v>-1.2051089249621021</v>
      </c>
      <c r="AB60" s="219">
        <f>-(P60*15.9994/(2*35.4527))</f>
        <v>-0.2394086120380112</v>
      </c>
      <c r="AC60" s="219">
        <f t="shared" si="10"/>
        <v>99.974482462999887</v>
      </c>
      <c r="AD60" s="95">
        <v>0.76860852419258641</v>
      </c>
      <c r="AE60" s="95">
        <v>0.15270125098104745</v>
      </c>
      <c r="AF60" s="95">
        <v>7.8690224826366145E-2</v>
      </c>
      <c r="AG60" s="96">
        <v>0.13880970939343446</v>
      </c>
      <c r="AH60" s="96">
        <f t="shared" ref="AH60:AH94" si="11">AD60/AF60</f>
        <v>9.7675222797820052</v>
      </c>
      <c r="AI60" s="217">
        <f>AD60/AE60</f>
        <v>5.0334134085645603</v>
      </c>
      <c r="AJ60" s="95">
        <f t="shared" ref="AJ60:AJ94" si="12">AE60/AF60</f>
        <v>1.9405364683858799</v>
      </c>
    </row>
    <row r="61" spans="1:36" ht="14" customHeight="1">
      <c r="A61" s="3" t="s">
        <v>403</v>
      </c>
      <c r="B61" s="3" t="s">
        <v>93</v>
      </c>
      <c r="C61" s="3" t="s">
        <v>88</v>
      </c>
      <c r="D61" s="3" t="s">
        <v>1085</v>
      </c>
      <c r="E61" s="3" t="s">
        <v>1086</v>
      </c>
      <c r="F61" s="3" t="s">
        <v>1087</v>
      </c>
      <c r="G61" s="3" t="s">
        <v>1037</v>
      </c>
      <c r="H61" s="216">
        <v>41.17</v>
      </c>
      <c r="I61" s="217">
        <v>0.55100000000000005</v>
      </c>
      <c r="J61" s="216">
        <v>53.506</v>
      </c>
      <c r="K61" s="217">
        <v>0.12</v>
      </c>
      <c r="L61" s="217">
        <v>0.112</v>
      </c>
      <c r="M61" s="217">
        <v>0.16300000000000001</v>
      </c>
      <c r="N61" s="217" t="s">
        <v>1038</v>
      </c>
      <c r="O61" s="217">
        <v>3.1789999999999998</v>
      </c>
      <c r="P61" s="217">
        <v>0.23799999999999999</v>
      </c>
      <c r="Q61" s="217">
        <v>0.23799999999999999</v>
      </c>
      <c r="R61" s="217" t="s">
        <v>1038</v>
      </c>
      <c r="S61" s="3">
        <v>0</v>
      </c>
      <c r="T61" s="217"/>
      <c r="U61" s="217"/>
      <c r="V61" s="217">
        <v>5.3999999999999999E-2</v>
      </c>
      <c r="W61" s="217" t="s">
        <v>1038</v>
      </c>
      <c r="X61" s="217" t="s">
        <v>1038</v>
      </c>
      <c r="Y61" s="218">
        <v>0.45900000000000002</v>
      </c>
      <c r="Z61" s="216">
        <f t="shared" si="8"/>
        <v>99.79</v>
      </c>
      <c r="AA61" s="219">
        <f t="shared" si="9"/>
        <v>-1.3385888443237324</v>
      </c>
      <c r="AB61" s="219">
        <f>-(P61*15.9994/(2*35.4527))</f>
        <v>-5.370334558439837E-2</v>
      </c>
      <c r="AC61" s="219">
        <f t="shared" si="10"/>
        <v>98.397707810091873</v>
      </c>
      <c r="AD61" s="95">
        <v>0.86125496029147419</v>
      </c>
      <c r="AE61" s="95">
        <v>3.4554913420068029E-2</v>
      </c>
      <c r="AF61" s="95">
        <v>0.10419012628845778</v>
      </c>
      <c r="AG61" s="96">
        <v>0.18218808974816478</v>
      </c>
      <c r="AH61" s="96">
        <f t="shared" si="11"/>
        <v>8.2661859714713142</v>
      </c>
      <c r="AI61" s="216">
        <f t="shared" ref="AI61:AJ125" si="13">AD61/AE61</f>
        <v>24.924240145579233</v>
      </c>
      <c r="AJ61" s="95">
        <f t="shared" si="12"/>
        <v>0.33165247659265035</v>
      </c>
    </row>
    <row r="62" spans="1:36" ht="14" customHeight="1">
      <c r="A62" s="3" t="s">
        <v>1095</v>
      </c>
      <c r="B62" s="3" t="s">
        <v>93</v>
      </c>
      <c r="C62" s="3" t="s">
        <v>88</v>
      </c>
      <c r="D62" s="3" t="s">
        <v>1085</v>
      </c>
      <c r="E62" s="3" t="s">
        <v>1086</v>
      </c>
      <c r="F62" s="3" t="s">
        <v>1087</v>
      </c>
      <c r="G62" s="3" t="s">
        <v>1094</v>
      </c>
      <c r="H62" s="216">
        <v>41.838999999999999</v>
      </c>
      <c r="I62" s="217">
        <v>0.57399999999999995</v>
      </c>
      <c r="J62" s="216">
        <v>52.984000000000002</v>
      </c>
      <c r="K62" s="217">
        <v>0.16700000000000001</v>
      </c>
      <c r="L62" s="217">
        <v>0.08</v>
      </c>
      <c r="M62" s="217">
        <v>0.20499999999999999</v>
      </c>
      <c r="N62" s="217" t="s">
        <v>1038</v>
      </c>
      <c r="O62" s="217">
        <v>3.9710000000000001</v>
      </c>
      <c r="P62" s="217" t="s">
        <v>1038</v>
      </c>
      <c r="Q62" s="217">
        <v>2.4E-2</v>
      </c>
      <c r="R62" s="217" t="s">
        <v>1038</v>
      </c>
      <c r="S62" s="217">
        <v>0</v>
      </c>
      <c r="T62" s="217"/>
      <c r="U62" s="217"/>
      <c r="V62" s="217" t="s">
        <v>1038</v>
      </c>
      <c r="W62" s="217" t="s">
        <v>1038</v>
      </c>
      <c r="X62" s="217" t="s">
        <v>1038</v>
      </c>
      <c r="Y62" s="218" t="s">
        <v>1088</v>
      </c>
      <c r="Z62" s="216">
        <f>SUM(H62:Y62)</f>
        <v>99.843999999999994</v>
      </c>
      <c r="AA62" s="222">
        <f>-(O62*15.9994/(2*18.9984))</f>
        <v>-1.672078106577396</v>
      </c>
      <c r="AB62" s="222"/>
      <c r="AC62" s="222">
        <f>Z62+SUM(AA62:AB62)</f>
        <v>98.171921893422592</v>
      </c>
      <c r="AD62" s="95"/>
      <c r="AE62" s="95"/>
      <c r="AF62" s="95"/>
      <c r="AG62" s="96"/>
      <c r="AH62" s="96"/>
      <c r="AJ62" s="95"/>
    </row>
    <row r="63" spans="1:36" ht="14" customHeight="1">
      <c r="A63" s="3" t="s">
        <v>405</v>
      </c>
      <c r="B63" s="3" t="s">
        <v>93</v>
      </c>
      <c r="C63" s="3" t="s">
        <v>88</v>
      </c>
      <c r="D63" s="3" t="s">
        <v>1085</v>
      </c>
      <c r="E63" s="3" t="s">
        <v>1086</v>
      </c>
      <c r="F63" s="3" t="s">
        <v>1087</v>
      </c>
      <c r="G63" s="3" t="s">
        <v>1037</v>
      </c>
      <c r="H63" s="216">
        <v>40.475999999999999</v>
      </c>
      <c r="I63" s="217">
        <v>0.191</v>
      </c>
      <c r="J63" s="216">
        <v>53.795999999999999</v>
      </c>
      <c r="K63" s="217" t="s">
        <v>1038</v>
      </c>
      <c r="L63" s="217">
        <v>8.5999999999999993E-2</v>
      </c>
      <c r="M63" s="217">
        <v>0.24199999999999999</v>
      </c>
      <c r="N63" s="217" t="s">
        <v>1038</v>
      </c>
      <c r="O63" s="217">
        <v>4.0439999999999996</v>
      </c>
      <c r="P63" s="217" t="s">
        <v>1038</v>
      </c>
      <c r="Q63" s="217">
        <v>2.1999999999999999E-2</v>
      </c>
      <c r="R63" s="217" t="s">
        <v>1038</v>
      </c>
      <c r="S63" s="217">
        <v>1.2E-2</v>
      </c>
      <c r="T63" s="217"/>
      <c r="U63" s="217"/>
      <c r="V63" s="224" t="s">
        <v>1038</v>
      </c>
      <c r="W63" s="217" t="s">
        <v>1038</v>
      </c>
      <c r="X63" s="217" t="s">
        <v>1038</v>
      </c>
      <c r="Y63" s="218" t="s">
        <v>1089</v>
      </c>
      <c r="Z63" s="216">
        <f t="shared" si="8"/>
        <v>98.869</v>
      </c>
      <c r="AA63" s="219">
        <f t="shared" si="9"/>
        <v>-1.7028163845376449</v>
      </c>
      <c r="AB63" s="219"/>
      <c r="AC63" s="219">
        <f t="shared" ref="AC63:AC94" si="14">Z63+SUM(AA63:AB63)</f>
        <v>97.166183615462359</v>
      </c>
      <c r="AD63" s="95"/>
      <c r="AE63" s="95"/>
      <c r="AF63" s="95"/>
      <c r="AG63" s="96"/>
      <c r="AH63" s="96"/>
      <c r="AJ63" s="95"/>
    </row>
    <row r="64" spans="1:36" ht="14" customHeight="1">
      <c r="A64" s="3" t="s">
        <v>1096</v>
      </c>
      <c r="B64" s="3" t="s">
        <v>93</v>
      </c>
      <c r="C64" s="3" t="s">
        <v>88</v>
      </c>
      <c r="D64" s="3" t="s">
        <v>1085</v>
      </c>
      <c r="E64" s="3" t="s">
        <v>1097</v>
      </c>
      <c r="F64" s="3" t="s">
        <v>1087</v>
      </c>
      <c r="G64" s="3" t="s">
        <v>1037</v>
      </c>
      <c r="H64" s="216">
        <v>40.962000000000003</v>
      </c>
      <c r="I64" s="217">
        <v>0.48</v>
      </c>
      <c r="J64" s="216">
        <v>53.795000000000002</v>
      </c>
      <c r="K64" s="217">
        <v>7.8E-2</v>
      </c>
      <c r="L64" s="217" t="s">
        <v>1038</v>
      </c>
      <c r="M64" s="217">
        <v>0.20599999999999999</v>
      </c>
      <c r="N64" s="217" t="s">
        <v>1038</v>
      </c>
      <c r="O64" s="217">
        <v>3.9020000000000001</v>
      </c>
      <c r="P64" s="217" t="s">
        <v>1038</v>
      </c>
      <c r="Q64" s="217">
        <v>2.1000000000000001E-2</v>
      </c>
      <c r="R64" s="217" t="s">
        <v>1038</v>
      </c>
      <c r="S64" s="217">
        <v>1.2E-2</v>
      </c>
      <c r="T64" s="217"/>
      <c r="U64" s="217"/>
      <c r="V64" s="224" t="s">
        <v>1038</v>
      </c>
      <c r="W64" s="217" t="s">
        <v>1038</v>
      </c>
      <c r="X64" s="217" t="s">
        <v>1038</v>
      </c>
      <c r="Y64" s="218" t="s">
        <v>1088</v>
      </c>
      <c r="Z64" s="216">
        <f t="shared" si="8"/>
        <v>99.456000000000003</v>
      </c>
      <c r="AA64" s="219">
        <f t="shared" si="9"/>
        <v>-1.6430241178204479</v>
      </c>
      <c r="AB64" s="219"/>
      <c r="AC64" s="219">
        <f>Z64+SUM(AA64:AB64)</f>
        <v>97.812975882179558</v>
      </c>
      <c r="AD64" s="95"/>
      <c r="AE64" s="95"/>
      <c r="AF64" s="95"/>
      <c r="AG64" s="96"/>
      <c r="AH64" s="96"/>
      <c r="AJ64" s="95"/>
    </row>
    <row r="65" spans="1:36" ht="14" customHeight="1">
      <c r="A65" s="3" t="s">
        <v>1098</v>
      </c>
      <c r="B65" s="3" t="s">
        <v>93</v>
      </c>
      <c r="C65" s="3" t="s">
        <v>88</v>
      </c>
      <c r="D65" s="3" t="s">
        <v>1085</v>
      </c>
      <c r="E65" s="3" t="s">
        <v>1097</v>
      </c>
      <c r="F65" s="3" t="s">
        <v>1036</v>
      </c>
      <c r="G65" s="3" t="s">
        <v>1037</v>
      </c>
      <c r="H65" s="216">
        <v>41.993000000000002</v>
      </c>
      <c r="I65" s="217">
        <v>0.255</v>
      </c>
      <c r="J65" s="216">
        <v>53.694000000000003</v>
      </c>
      <c r="K65" s="217">
        <v>7.8E-2</v>
      </c>
      <c r="L65" s="217">
        <v>0.106</v>
      </c>
      <c r="M65" s="217">
        <v>0.182</v>
      </c>
      <c r="N65" s="217" t="s">
        <v>1038</v>
      </c>
      <c r="O65" s="217">
        <v>4.0309999999999997</v>
      </c>
      <c r="P65" s="217" t="s">
        <v>1038</v>
      </c>
      <c r="Q65" s="217">
        <v>1.7999999999999999E-2</v>
      </c>
      <c r="R65" s="217" t="s">
        <v>1038</v>
      </c>
      <c r="S65" s="217">
        <v>8.0000000000000002E-3</v>
      </c>
      <c r="T65" s="217"/>
      <c r="U65" s="217"/>
      <c r="V65" s="224" t="s">
        <v>1038</v>
      </c>
      <c r="W65" s="217" t="s">
        <v>1038</v>
      </c>
      <c r="X65" s="217" t="s">
        <v>1038</v>
      </c>
      <c r="Y65" s="218" t="s">
        <v>1089</v>
      </c>
      <c r="Z65" s="216">
        <f t="shared" si="8"/>
        <v>100.36500000000001</v>
      </c>
      <c r="AA65" s="219">
        <f t="shared" si="9"/>
        <v>-1.6973424446269159</v>
      </c>
      <c r="AB65" s="219"/>
      <c r="AC65" s="219">
        <f>Z65+SUM(AA65:AB65)</f>
        <v>98.667657555373097</v>
      </c>
      <c r="AD65" s="95"/>
      <c r="AE65" s="95"/>
      <c r="AF65" s="95"/>
      <c r="AG65" s="96"/>
      <c r="AH65" s="96"/>
      <c r="AJ65" s="95"/>
    </row>
    <row r="66" spans="1:36" ht="14" customHeight="1">
      <c r="A66" s="3" t="s">
        <v>445</v>
      </c>
      <c r="B66" s="3" t="s">
        <v>128</v>
      </c>
      <c r="C66" s="3" t="s">
        <v>87</v>
      </c>
      <c r="D66" s="3" t="s">
        <v>1085</v>
      </c>
      <c r="E66" s="3" t="s">
        <v>1086</v>
      </c>
      <c r="F66" s="3" t="s">
        <v>1087</v>
      </c>
      <c r="G66" s="3" t="s">
        <v>1037</v>
      </c>
      <c r="H66" s="216">
        <v>39.997</v>
      </c>
      <c r="I66" s="217">
        <v>0.82299999999999995</v>
      </c>
      <c r="J66" s="216">
        <v>52.531999999999996</v>
      </c>
      <c r="K66" s="217">
        <v>0.16300000000000001</v>
      </c>
      <c r="L66" s="217">
        <v>0.23300000000000001</v>
      </c>
      <c r="M66" s="217">
        <v>0.12</v>
      </c>
      <c r="N66" s="217" t="s">
        <v>1038</v>
      </c>
      <c r="O66" s="217">
        <v>2.3199999999999998</v>
      </c>
      <c r="P66" s="217">
        <v>0.53100000000000003</v>
      </c>
      <c r="Q66" s="217"/>
      <c r="R66" s="217" t="s">
        <v>1038</v>
      </c>
      <c r="S66" s="217"/>
      <c r="T66" s="217"/>
      <c r="U66" s="217"/>
      <c r="V66" s="224" t="s">
        <v>1038</v>
      </c>
      <c r="W66" s="217" t="s">
        <v>1038</v>
      </c>
      <c r="X66" s="217" t="s">
        <v>1038</v>
      </c>
      <c r="Y66" s="218">
        <v>0.755</v>
      </c>
      <c r="Z66" s="216">
        <f t="shared" si="8"/>
        <v>97.474000000000004</v>
      </c>
      <c r="AA66" s="219">
        <f t="shared" si="9"/>
        <v>-0.97688773791477157</v>
      </c>
      <c r="AB66" s="219">
        <f>-(P66*15.9994/(2*35.4527))</f>
        <v>-0.11981712817359469</v>
      </c>
      <c r="AC66" s="219">
        <f>Z66+SUM(AA66:AB66)</f>
        <v>96.377295133911645</v>
      </c>
      <c r="AD66" s="95">
        <v>0.64121798843632427</v>
      </c>
      <c r="AE66" s="95">
        <v>7.8650932734671927E-2</v>
      </c>
      <c r="AF66" s="95">
        <v>0.28013107882900379</v>
      </c>
      <c r="AG66" s="96">
        <v>0.48015140879787616</v>
      </c>
      <c r="AH66" s="96">
        <f>AD66/AF66</f>
        <v>2.2889926784158545</v>
      </c>
      <c r="AI66" s="217">
        <f t="shared" si="13"/>
        <v>8.1527067275790142</v>
      </c>
      <c r="AJ66" s="95">
        <f>AE66/AF66</f>
        <v>0.28076475149935659</v>
      </c>
    </row>
    <row r="67" spans="1:36" s="225" customFormat="1" ht="14" customHeight="1">
      <c r="A67" s="223" t="s">
        <v>281</v>
      </c>
      <c r="B67" s="223"/>
      <c r="H67" s="226"/>
      <c r="I67" s="227"/>
      <c r="J67" s="226"/>
      <c r="K67" s="227"/>
      <c r="L67" s="227"/>
      <c r="M67" s="227"/>
      <c r="N67" s="227"/>
      <c r="O67" s="227"/>
      <c r="P67" s="180">
        <f>AVERAGE(P60:P66)</f>
        <v>0.61</v>
      </c>
      <c r="Q67" s="227"/>
      <c r="R67" s="227"/>
      <c r="S67" s="227"/>
      <c r="T67" s="180"/>
      <c r="U67" s="180"/>
      <c r="V67" s="227"/>
      <c r="W67" s="227"/>
      <c r="X67" s="227"/>
      <c r="Y67" s="228"/>
      <c r="Z67" s="226"/>
      <c r="AA67" s="229"/>
      <c r="AB67" s="229"/>
      <c r="AC67" s="229"/>
      <c r="AD67" s="230"/>
      <c r="AE67" s="230"/>
      <c r="AF67" s="230"/>
      <c r="AG67" s="231"/>
      <c r="AH67" s="231"/>
      <c r="AI67" s="180"/>
      <c r="AJ67" s="230"/>
    </row>
    <row r="68" spans="1:36" s="34" customFormat="1" ht="14" customHeight="1">
      <c r="A68" s="223" t="s">
        <v>204</v>
      </c>
      <c r="B68" s="223"/>
      <c r="H68" s="232"/>
      <c r="I68" s="180"/>
      <c r="J68" s="232"/>
      <c r="K68" s="180"/>
      <c r="L68" s="180"/>
      <c r="M68" s="180"/>
      <c r="N68" s="180"/>
      <c r="O68" s="180"/>
      <c r="P68" s="180">
        <f>_xlfn.STDEV.S(P60:P66)</f>
        <v>0.41714865455853967</v>
      </c>
      <c r="Q68" s="180"/>
      <c r="R68" s="180"/>
      <c r="S68" s="180"/>
      <c r="T68" s="180"/>
      <c r="U68" s="180"/>
      <c r="V68" s="233"/>
      <c r="W68" s="180"/>
      <c r="X68" s="180"/>
      <c r="Y68" s="215"/>
      <c r="Z68" s="232"/>
      <c r="AA68" s="234"/>
      <c r="AB68" s="234"/>
      <c r="AC68" s="234"/>
      <c r="AD68" s="235"/>
      <c r="AE68" s="235"/>
      <c r="AF68" s="235"/>
      <c r="AG68" s="159"/>
      <c r="AH68" s="159"/>
      <c r="AI68" s="180"/>
      <c r="AJ68" s="235"/>
    </row>
    <row r="69" spans="1:36" s="111" customFormat="1" ht="14" customHeight="1">
      <c r="A69" s="111" t="s">
        <v>1099</v>
      </c>
      <c r="B69" s="3" t="s">
        <v>93</v>
      </c>
      <c r="C69" s="111" t="s">
        <v>88</v>
      </c>
      <c r="D69" s="111" t="s">
        <v>1085</v>
      </c>
      <c r="E69" s="111" t="s">
        <v>1100</v>
      </c>
      <c r="F69" s="111" t="s">
        <v>1087</v>
      </c>
      <c r="G69" s="111" t="s">
        <v>1094</v>
      </c>
      <c r="H69" s="236">
        <v>41.506999999999998</v>
      </c>
      <c r="I69" s="237">
        <v>0.501</v>
      </c>
      <c r="J69" s="236">
        <v>53.636000000000003</v>
      </c>
      <c r="K69" s="237">
        <v>9.4E-2</v>
      </c>
      <c r="L69" s="237">
        <v>0.38700000000000001</v>
      </c>
      <c r="M69" s="237">
        <v>8.2000000000000003E-2</v>
      </c>
      <c r="N69" s="237" t="s">
        <v>1038</v>
      </c>
      <c r="O69" s="237">
        <v>2.3849999999999998</v>
      </c>
      <c r="P69" s="237">
        <v>1.181</v>
      </c>
      <c r="Q69" s="237"/>
      <c r="R69" s="237" t="s">
        <v>1038</v>
      </c>
      <c r="S69" s="237"/>
      <c r="T69" s="237"/>
      <c r="U69" s="237"/>
      <c r="V69" s="237" t="s">
        <v>1038</v>
      </c>
      <c r="W69" s="237" t="s">
        <v>1038</v>
      </c>
      <c r="X69" s="237" t="s">
        <v>1038</v>
      </c>
      <c r="Y69" s="238" t="s">
        <v>1089</v>
      </c>
      <c r="Z69" s="236">
        <f>SUM(H69:Y69)</f>
        <v>99.772999999999996</v>
      </c>
      <c r="AA69" s="239">
        <f>-(O69*15.9994/(2*18.9984))</f>
        <v>-1.0042574374684181</v>
      </c>
      <c r="AB69" s="239">
        <f>-(P69*15.9994/(2*35.4527))</f>
        <v>-0.26648592913938857</v>
      </c>
      <c r="AC69" s="239">
        <f>Z69+SUM(AA69:AB69)</f>
        <v>98.502256633392193</v>
      </c>
      <c r="AD69" s="115">
        <v>0.64226236887802612</v>
      </c>
      <c r="AE69" s="115">
        <v>0.17043768820216551</v>
      </c>
      <c r="AF69" s="115">
        <v>0.18729994291980837</v>
      </c>
      <c r="AG69" s="116">
        <v>0.32949450611935654</v>
      </c>
      <c r="AH69" s="116">
        <f>AD69/AF69</f>
        <v>3.4290580064565632</v>
      </c>
      <c r="AI69" s="237">
        <f>AD69/AE69</f>
        <v>3.7683119012750481</v>
      </c>
      <c r="AJ69" s="115">
        <f>AE69/AF69</f>
        <v>0.90997191747750639</v>
      </c>
    </row>
    <row r="70" spans="1:36" s="34" customFormat="1" ht="14" customHeight="1">
      <c r="A70" s="223"/>
      <c r="B70" s="223"/>
      <c r="H70" s="232"/>
      <c r="I70" s="180"/>
      <c r="J70" s="232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233"/>
      <c r="W70" s="180"/>
      <c r="X70" s="180"/>
      <c r="Y70" s="215"/>
      <c r="Z70" s="232"/>
      <c r="AA70" s="234"/>
      <c r="AB70" s="234"/>
      <c r="AC70" s="234"/>
      <c r="AD70" s="235"/>
      <c r="AE70" s="235"/>
      <c r="AF70" s="235"/>
      <c r="AG70" s="159"/>
      <c r="AH70" s="159"/>
      <c r="AJ70" s="235"/>
    </row>
    <row r="71" spans="1:36" ht="14" customHeight="1">
      <c r="A71" s="3" t="s">
        <v>367</v>
      </c>
      <c r="B71" s="3" t="s">
        <v>93</v>
      </c>
      <c r="C71" s="3" t="s">
        <v>90</v>
      </c>
      <c r="D71" s="3" t="s">
        <v>1085</v>
      </c>
      <c r="E71" s="3" t="s">
        <v>1086</v>
      </c>
      <c r="F71" s="3" t="s">
        <v>1036</v>
      </c>
      <c r="G71" s="3" t="s">
        <v>1094</v>
      </c>
      <c r="H71" s="216">
        <v>41.646999999999998</v>
      </c>
      <c r="I71" s="217">
        <v>0.46600000000000003</v>
      </c>
      <c r="J71" s="216">
        <v>53.96</v>
      </c>
      <c r="K71" s="217">
        <v>8.1000000000000003E-2</v>
      </c>
      <c r="L71" s="217">
        <v>0.16300000000000001</v>
      </c>
      <c r="M71" s="217">
        <v>0.109</v>
      </c>
      <c r="N71" s="217" t="s">
        <v>1038</v>
      </c>
      <c r="O71" s="217">
        <v>3.85</v>
      </c>
      <c r="P71" s="217" t="s">
        <v>1038</v>
      </c>
      <c r="Q71" s="217">
        <v>1.2E-2</v>
      </c>
      <c r="R71" s="217" t="s">
        <v>1038</v>
      </c>
      <c r="S71" s="217">
        <v>5.0000000000000001E-3</v>
      </c>
      <c r="T71" s="217"/>
      <c r="U71" s="217"/>
      <c r="V71" s="224" t="s">
        <v>1038</v>
      </c>
      <c r="W71" s="217" t="s">
        <v>1038</v>
      </c>
      <c r="X71" s="217" t="s">
        <v>1038</v>
      </c>
      <c r="Y71" s="218" t="s">
        <v>1089</v>
      </c>
      <c r="Z71" s="216">
        <f>SUM(H71:Y71)</f>
        <v>100.29299999999999</v>
      </c>
      <c r="AA71" s="219">
        <f>-(O71*15.9994/(2*18.9984))</f>
        <v>-1.6211283581775306</v>
      </c>
      <c r="AB71" s="219"/>
      <c r="AC71" s="219">
        <f t="shared" si="14"/>
        <v>98.671871641822463</v>
      </c>
      <c r="AD71" s="95"/>
      <c r="AE71" s="95"/>
      <c r="AF71" s="95"/>
      <c r="AG71" s="96"/>
      <c r="AH71" s="96"/>
      <c r="AJ71" s="95"/>
    </row>
    <row r="72" spans="1:36" ht="14" customHeight="1">
      <c r="A72" s="3" t="s">
        <v>371</v>
      </c>
      <c r="B72" s="3" t="s">
        <v>93</v>
      </c>
      <c r="C72" s="3" t="s">
        <v>90</v>
      </c>
      <c r="D72" s="3" t="s">
        <v>1085</v>
      </c>
      <c r="E72" s="3" t="s">
        <v>1086</v>
      </c>
      <c r="F72" s="3" t="s">
        <v>1087</v>
      </c>
      <c r="G72" s="3" t="s">
        <v>1037</v>
      </c>
      <c r="H72" s="216">
        <v>40.302999999999997</v>
      </c>
      <c r="I72" s="217">
        <v>1.0880000000000001</v>
      </c>
      <c r="J72" s="216">
        <v>52.463000000000001</v>
      </c>
      <c r="K72" s="217" t="s">
        <v>1038</v>
      </c>
      <c r="L72" s="217">
        <v>0.13800000000000001</v>
      </c>
      <c r="M72" s="217">
        <v>0.191</v>
      </c>
      <c r="N72" s="217" t="s">
        <v>1038</v>
      </c>
      <c r="O72" s="217">
        <v>3.93</v>
      </c>
      <c r="P72" s="217" t="s">
        <v>1038</v>
      </c>
      <c r="Q72" s="217">
        <v>1.2999999999999999E-2</v>
      </c>
      <c r="R72" s="217" t="s">
        <v>1038</v>
      </c>
      <c r="S72" s="217">
        <v>0</v>
      </c>
      <c r="T72" s="217"/>
      <c r="U72" s="217"/>
      <c r="V72" s="217">
        <v>0.14699999999999999</v>
      </c>
      <c r="W72" s="217">
        <v>0.249</v>
      </c>
      <c r="X72" s="217" t="s">
        <v>1038</v>
      </c>
      <c r="Y72" s="218">
        <v>0.307</v>
      </c>
      <c r="Z72" s="216">
        <f>SUM(H72:Y72)</f>
        <v>98.829000000000022</v>
      </c>
      <c r="AA72" s="219">
        <f>-(O72*15.9994/(2*18.9984))</f>
        <v>-1.6548141422435574</v>
      </c>
      <c r="AB72" s="219"/>
      <c r="AC72" s="219">
        <f t="shared" si="14"/>
        <v>97.17418585775647</v>
      </c>
      <c r="AD72" s="95"/>
      <c r="AE72" s="95"/>
      <c r="AF72" s="95"/>
      <c r="AG72" s="96"/>
      <c r="AH72" s="96"/>
      <c r="AJ72" s="95"/>
    </row>
    <row r="73" spans="1:36" ht="14" customHeight="1">
      <c r="A73" s="3" t="s">
        <v>1101</v>
      </c>
      <c r="B73" s="3" t="s">
        <v>93</v>
      </c>
      <c r="C73" s="3" t="s">
        <v>90</v>
      </c>
      <c r="D73" s="3" t="s">
        <v>1085</v>
      </c>
      <c r="E73" s="3" t="s">
        <v>1086</v>
      </c>
      <c r="F73" s="3" t="s">
        <v>1087</v>
      </c>
      <c r="G73" s="3" t="s">
        <v>1037</v>
      </c>
      <c r="H73" s="216">
        <v>41.212000000000003</v>
      </c>
      <c r="I73" s="217">
        <v>0.82299999999999995</v>
      </c>
      <c r="J73" s="216">
        <v>52.841999999999999</v>
      </c>
      <c r="K73" s="217">
        <v>0.13</v>
      </c>
      <c r="L73" s="217">
        <v>0.42899999999999999</v>
      </c>
      <c r="M73" s="217">
        <v>9.5000000000000001E-2</v>
      </c>
      <c r="N73" s="217" t="s">
        <v>1038</v>
      </c>
      <c r="O73" s="217">
        <v>2.8759999999999999</v>
      </c>
      <c r="P73" s="217">
        <v>1.0980000000000001</v>
      </c>
      <c r="Q73" s="217">
        <v>1.0980000000000001</v>
      </c>
      <c r="R73" s="217" t="s">
        <v>1038</v>
      </c>
      <c r="S73" s="3">
        <v>0</v>
      </c>
      <c r="T73" s="217"/>
      <c r="U73" s="217"/>
      <c r="V73" s="224" t="s">
        <v>1038</v>
      </c>
      <c r="W73" s="217" t="s">
        <v>1038</v>
      </c>
      <c r="X73" s="217" t="s">
        <v>1038</v>
      </c>
      <c r="Y73" s="218" t="s">
        <v>1088</v>
      </c>
      <c r="Z73" s="216">
        <f>SUM(H73:Y73)</f>
        <v>100.60300000000001</v>
      </c>
      <c r="AA73" s="219">
        <f>-(O73*15.9994/(2*18.9984))</f>
        <v>-1.2110039371736567</v>
      </c>
      <c r="AB73" s="219">
        <f>-(P73*15.9994/(2*35.4527))</f>
        <v>-0.24775745147760256</v>
      </c>
      <c r="AC73" s="219">
        <f t="shared" si="14"/>
        <v>99.144238611348754</v>
      </c>
      <c r="AD73" s="95">
        <v>0.77847739183931008</v>
      </c>
      <c r="AE73" s="95">
        <v>0.1592762810379485</v>
      </c>
      <c r="AF73" s="95">
        <v>6.2246327122741418E-2</v>
      </c>
      <c r="AG73" s="96">
        <v>0.10894096903976372</v>
      </c>
      <c r="AH73" s="96">
        <f t="shared" si="11"/>
        <v>12.506398816178454</v>
      </c>
      <c r="AI73" s="216">
        <f t="shared" si="13"/>
        <v>4.8875914653848138</v>
      </c>
      <c r="AJ73" s="95">
        <f t="shared" si="12"/>
        <v>2.5588060918659026</v>
      </c>
    </row>
    <row r="74" spans="1:36" ht="14" customHeight="1">
      <c r="A74" s="3" t="s">
        <v>1102</v>
      </c>
      <c r="B74" s="3" t="s">
        <v>93</v>
      </c>
      <c r="C74" s="3" t="s">
        <v>90</v>
      </c>
      <c r="D74" s="3" t="s">
        <v>1085</v>
      </c>
      <c r="E74" s="3" t="s">
        <v>1086</v>
      </c>
      <c r="F74" s="3" t="s">
        <v>1087</v>
      </c>
      <c r="G74" s="3" t="s">
        <v>1037</v>
      </c>
      <c r="H74" s="216">
        <v>41.046999999999997</v>
      </c>
      <c r="I74" s="217">
        <v>0.88700000000000001</v>
      </c>
      <c r="J74" s="216">
        <v>53.106999999999999</v>
      </c>
      <c r="K74" s="217">
        <v>0.13300000000000001</v>
      </c>
      <c r="L74" s="217">
        <v>0.316</v>
      </c>
      <c r="M74" s="217">
        <v>7.3999999999999996E-2</v>
      </c>
      <c r="N74" s="217" t="s">
        <v>1038</v>
      </c>
      <c r="O74" s="217">
        <v>4.2069999999999999</v>
      </c>
      <c r="P74" s="217">
        <v>6.6000000000000003E-2</v>
      </c>
      <c r="Q74" s="217">
        <v>6.6000000000000003E-2</v>
      </c>
      <c r="R74" s="217" t="s">
        <v>1038</v>
      </c>
      <c r="S74" s="217">
        <v>0</v>
      </c>
      <c r="T74" s="217"/>
      <c r="U74" s="217"/>
      <c r="V74" s="224" t="s">
        <v>1038</v>
      </c>
      <c r="W74" s="217">
        <v>2.8000000000000001E-2</v>
      </c>
      <c r="X74" s="217" t="s">
        <v>1038</v>
      </c>
      <c r="Y74" s="218" t="s">
        <v>1089</v>
      </c>
      <c r="Z74" s="216">
        <f>SUM(H74:Y74)</f>
        <v>99.930999999999997</v>
      </c>
      <c r="AA74" s="219">
        <f>-(O74*15.9994/(2*18.9984))</f>
        <v>-1.7714511695721744</v>
      </c>
      <c r="AB74" s="219">
        <f>-(P74*15.9994/(2*35.4527))</f>
        <v>-1.4892524405757531E-2</v>
      </c>
      <c r="AC74" s="219">
        <f t="shared" si="14"/>
        <v>98.144656306022071</v>
      </c>
      <c r="AD74" s="95">
        <v>0.9916626692249052</v>
      </c>
      <c r="AE74" s="95">
        <v>8.3373307750947249E-3</v>
      </c>
      <c r="AF74" s="95">
        <v>0</v>
      </c>
      <c r="AG74" s="96">
        <v>-0.260190800453169</v>
      </c>
      <c r="AH74" s="96"/>
      <c r="AI74" s="100">
        <f t="shared" si="13"/>
        <v>118.94246443804293</v>
      </c>
      <c r="AJ74" s="95"/>
    </row>
    <row r="75" spans="1:36" ht="14" customHeight="1">
      <c r="A75" s="3" t="s">
        <v>1103</v>
      </c>
      <c r="B75" s="3" t="s">
        <v>93</v>
      </c>
      <c r="C75" s="3" t="s">
        <v>90</v>
      </c>
      <c r="D75" s="3" t="s">
        <v>1085</v>
      </c>
      <c r="E75" s="3" t="s">
        <v>1086</v>
      </c>
      <c r="F75" s="3" t="s">
        <v>1087</v>
      </c>
      <c r="G75" s="3" t="s">
        <v>1037</v>
      </c>
      <c r="H75" s="216">
        <v>36.517000000000003</v>
      </c>
      <c r="I75" s="217">
        <v>2.3889999999999998</v>
      </c>
      <c r="J75" s="216">
        <v>50.040999999999997</v>
      </c>
      <c r="K75" s="217">
        <v>0.104</v>
      </c>
      <c r="L75" s="217">
        <v>0.32800000000000001</v>
      </c>
      <c r="M75" s="217">
        <v>0.08</v>
      </c>
      <c r="N75" s="217" t="s">
        <v>1038</v>
      </c>
      <c r="O75" s="217">
        <v>4.0039999999999996</v>
      </c>
      <c r="P75" s="217">
        <v>8.3000000000000004E-2</v>
      </c>
      <c r="Q75" s="217">
        <v>8.3000000000000004E-2</v>
      </c>
      <c r="R75" s="217" t="s">
        <v>1038</v>
      </c>
      <c r="S75" s="217">
        <v>2E-3</v>
      </c>
      <c r="T75" s="217"/>
      <c r="U75" s="217"/>
      <c r="V75" s="224" t="s">
        <v>1038</v>
      </c>
      <c r="W75" s="217" t="s">
        <v>1038</v>
      </c>
      <c r="X75" s="217" t="s">
        <v>1038</v>
      </c>
      <c r="Y75" s="218" t="s">
        <v>1088</v>
      </c>
      <c r="Z75" s="216">
        <f>SUM(H75:Y75)</f>
        <v>93.631</v>
      </c>
      <c r="AA75" s="219">
        <f>-(O75*15.9994/(2*18.9984))</f>
        <v>-1.6859734925046315</v>
      </c>
      <c r="AB75" s="219">
        <f>-(P75*15.9994/(2*35.4527))</f>
        <v>-1.8728477661785987E-2</v>
      </c>
      <c r="AC75" s="219">
        <f t="shared" si="14"/>
        <v>91.926298029833589</v>
      </c>
      <c r="AD75" s="95">
        <v>0.98901303645351013</v>
      </c>
      <c r="AE75" s="95">
        <v>1.098696354648972E-2</v>
      </c>
      <c r="AF75" s="95">
        <v>0</v>
      </c>
      <c r="AG75" s="96">
        <v>-0.2867048880874144</v>
      </c>
      <c r="AH75" s="96"/>
      <c r="AI75" s="216">
        <f t="shared" si="13"/>
        <v>90.016958031092656</v>
      </c>
      <c r="AJ75" s="95"/>
    </row>
    <row r="76" spans="1:36" ht="14" customHeight="1">
      <c r="H76" s="216"/>
      <c r="I76" s="217"/>
      <c r="J76" s="216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24"/>
      <c r="W76" s="217"/>
      <c r="X76" s="217"/>
      <c r="Y76" s="218"/>
      <c r="Z76" s="216"/>
      <c r="AA76" s="219"/>
      <c r="AB76" s="219"/>
      <c r="AC76" s="219"/>
      <c r="AD76" s="95"/>
      <c r="AE76" s="95"/>
      <c r="AF76" s="95"/>
      <c r="AG76" s="96"/>
      <c r="AH76" s="96"/>
      <c r="AI76" s="216"/>
      <c r="AJ76" s="95"/>
    </row>
    <row r="77" spans="1:36" ht="14" customHeight="1">
      <c r="A77" s="3" t="s">
        <v>369</v>
      </c>
      <c r="B77" s="3" t="s">
        <v>93</v>
      </c>
      <c r="C77" s="3" t="s">
        <v>90</v>
      </c>
      <c r="D77" s="3" t="s">
        <v>1085</v>
      </c>
      <c r="E77" s="3" t="s">
        <v>1086</v>
      </c>
      <c r="F77" s="3" t="s">
        <v>1087</v>
      </c>
      <c r="G77" s="3" t="s">
        <v>1094</v>
      </c>
      <c r="H77" s="216">
        <v>42.273000000000003</v>
      </c>
      <c r="I77" s="217">
        <v>0.501</v>
      </c>
      <c r="J77" s="216">
        <v>54.058</v>
      </c>
      <c r="K77" s="217">
        <v>9.8000000000000004E-2</v>
      </c>
      <c r="L77" s="217">
        <v>0.23499999999999999</v>
      </c>
      <c r="M77" s="217">
        <v>0.10299999999999999</v>
      </c>
      <c r="N77" s="217" t="s">
        <v>1038</v>
      </c>
      <c r="O77" s="217">
        <v>4.2300000000000004</v>
      </c>
      <c r="P77" s="217" t="s">
        <v>1038</v>
      </c>
      <c r="Q77" s="217">
        <v>2.1999999999999999E-2</v>
      </c>
      <c r="R77" s="217" t="s">
        <v>1038</v>
      </c>
      <c r="S77" s="217">
        <v>0.01</v>
      </c>
      <c r="T77" s="217"/>
      <c r="U77" s="217"/>
      <c r="V77" s="217" t="s">
        <v>1038</v>
      </c>
      <c r="W77" s="217">
        <v>4.4999999999999998E-2</v>
      </c>
      <c r="X77" s="217" t="s">
        <v>1038</v>
      </c>
      <c r="Y77" s="218" t="s">
        <v>1088</v>
      </c>
      <c r="Z77" s="216">
        <f>SUM(H77:Y77)</f>
        <v>101.575</v>
      </c>
      <c r="AA77" s="222">
        <f>-(O77*15.9994/(2*18.9984))</f>
        <v>-1.7811358324911573</v>
      </c>
      <c r="AB77" s="222"/>
      <c r="AC77" s="222">
        <f>Z77+SUM(AA77:AB77)</f>
        <v>99.793864167508843</v>
      </c>
      <c r="AD77" s="95"/>
      <c r="AE77" s="95"/>
      <c r="AF77" s="95"/>
      <c r="AG77" s="96"/>
      <c r="AH77" s="96"/>
      <c r="AI77" s="216"/>
      <c r="AJ77" s="95"/>
    </row>
    <row r="78" spans="1:36" ht="14" customHeight="1">
      <c r="A78" s="3" t="s">
        <v>370</v>
      </c>
      <c r="B78" s="3" t="s">
        <v>93</v>
      </c>
      <c r="C78" s="3" t="s">
        <v>90</v>
      </c>
      <c r="D78" s="3" t="s">
        <v>1085</v>
      </c>
      <c r="E78" s="3" t="s">
        <v>1097</v>
      </c>
      <c r="F78" s="3" t="s">
        <v>1087</v>
      </c>
      <c r="G78" s="3" t="s">
        <v>1094</v>
      </c>
      <c r="H78" s="216">
        <v>40.624000000000002</v>
      </c>
      <c r="I78" s="217">
        <v>0.75</v>
      </c>
      <c r="J78" s="216">
        <v>53.276000000000003</v>
      </c>
      <c r="K78" s="217">
        <v>0.08</v>
      </c>
      <c r="L78" s="217">
        <v>0.19600000000000001</v>
      </c>
      <c r="M78" s="217">
        <v>0.113</v>
      </c>
      <c r="N78" s="217" t="s">
        <v>1038</v>
      </c>
      <c r="O78" s="217">
        <v>3.7429999999999999</v>
      </c>
      <c r="P78" s="217" t="s">
        <v>1038</v>
      </c>
      <c r="Q78" s="217">
        <v>2.1000000000000001E-2</v>
      </c>
      <c r="R78" s="217" t="s">
        <v>1038</v>
      </c>
      <c r="S78" s="217">
        <v>0</v>
      </c>
      <c r="T78" s="217"/>
      <c r="U78" s="217"/>
      <c r="V78" s="217" t="s">
        <v>1038</v>
      </c>
      <c r="W78" s="217">
        <v>2.3E-2</v>
      </c>
      <c r="X78" s="217" t="s">
        <v>1038</v>
      </c>
      <c r="Y78" s="218">
        <v>0.33300000000000002</v>
      </c>
      <c r="Z78" s="216">
        <f>SUM(H78:Y78)</f>
        <v>99.158999999999992</v>
      </c>
      <c r="AA78" s="222">
        <f>-(O78*15.9994/(2*18.9984))</f>
        <v>-1.57607362198922</v>
      </c>
      <c r="AB78" s="222"/>
      <c r="AC78" s="222">
        <f>Z78+SUM(AA78:AB78)</f>
        <v>97.582926378010768</v>
      </c>
      <c r="AD78" s="95"/>
      <c r="AE78" s="95"/>
      <c r="AF78" s="95"/>
      <c r="AG78" s="96"/>
      <c r="AH78" s="96"/>
      <c r="AI78" s="216"/>
      <c r="AJ78" s="95"/>
    </row>
    <row r="79" spans="1:36" ht="14" customHeight="1">
      <c r="A79" s="3" t="s">
        <v>1104</v>
      </c>
      <c r="B79" s="3" t="s">
        <v>93</v>
      </c>
      <c r="C79" s="3" t="s">
        <v>90</v>
      </c>
      <c r="D79" s="3" t="s">
        <v>1085</v>
      </c>
      <c r="E79" s="3" t="s">
        <v>1086</v>
      </c>
      <c r="F79" s="3" t="s">
        <v>1087</v>
      </c>
      <c r="G79" s="3" t="s">
        <v>1094</v>
      </c>
      <c r="H79" s="216">
        <v>40.643000000000001</v>
      </c>
      <c r="I79" s="217">
        <v>0.40200000000000002</v>
      </c>
      <c r="J79" s="216">
        <v>53.651000000000003</v>
      </c>
      <c r="K79" s="217">
        <v>0.111</v>
      </c>
      <c r="L79" s="217">
        <v>0.192</v>
      </c>
      <c r="M79" s="217">
        <v>9.9000000000000005E-2</v>
      </c>
      <c r="N79" s="217" t="s">
        <v>1038</v>
      </c>
      <c r="O79" s="217">
        <v>4.0890000000000004</v>
      </c>
      <c r="P79" s="217">
        <v>4.5999999999999999E-2</v>
      </c>
      <c r="Q79" s="217">
        <v>4.5999999999999999E-2</v>
      </c>
      <c r="R79" s="217" t="s">
        <v>1038</v>
      </c>
      <c r="S79" s="217">
        <v>0</v>
      </c>
      <c r="T79" s="217"/>
      <c r="U79" s="217"/>
      <c r="V79" s="217" t="s">
        <v>1038</v>
      </c>
      <c r="W79" s="217" t="s">
        <v>1038</v>
      </c>
      <c r="X79" s="217" t="s">
        <v>1038</v>
      </c>
      <c r="Y79" s="218">
        <v>0.40100000000000002</v>
      </c>
      <c r="Z79" s="216">
        <f>SUM(H79:Y79)</f>
        <v>99.68</v>
      </c>
      <c r="AA79" s="222">
        <f>-(O79*15.9994/(2*18.9984))</f>
        <v>-1.7217646380747853</v>
      </c>
      <c r="AB79" s="222">
        <f>-(P79*15.9994/(2*35.4527))</f>
        <v>-1.0379638222194641E-2</v>
      </c>
      <c r="AC79" s="222">
        <f t="shared" si="14"/>
        <v>97.947855723703029</v>
      </c>
      <c r="AD79" s="95">
        <v>0.9940073082055485</v>
      </c>
      <c r="AE79" s="95">
        <v>5.9926917944514132E-3</v>
      </c>
      <c r="AF79" s="95">
        <v>0</v>
      </c>
      <c r="AG79" s="96">
        <v>-0.21527378481276518</v>
      </c>
      <c r="AH79" s="96"/>
      <c r="AI79" s="100">
        <f t="shared" si="13"/>
        <v>165.86991994580669</v>
      </c>
      <c r="AJ79" s="95"/>
    </row>
    <row r="80" spans="1:36" ht="14" customHeight="1">
      <c r="A80" s="3" t="s">
        <v>1105</v>
      </c>
      <c r="B80" s="3" t="s">
        <v>93</v>
      </c>
      <c r="C80" s="3" t="s">
        <v>90</v>
      </c>
      <c r="D80" s="3" t="s">
        <v>1085</v>
      </c>
      <c r="E80" s="3" t="s">
        <v>1086</v>
      </c>
      <c r="F80" s="3" t="s">
        <v>1087</v>
      </c>
      <c r="G80" s="3" t="s">
        <v>1094</v>
      </c>
      <c r="H80" s="216">
        <v>38.942</v>
      </c>
      <c r="I80" s="217">
        <v>1.341</v>
      </c>
      <c r="J80" s="216">
        <v>52.363</v>
      </c>
      <c r="K80" s="217">
        <v>0.14799999999999999</v>
      </c>
      <c r="L80" s="217">
        <v>0.25600000000000001</v>
      </c>
      <c r="M80" s="217">
        <v>7.4999999999999997E-2</v>
      </c>
      <c r="N80" s="217" t="s">
        <v>1038</v>
      </c>
      <c r="O80" s="217">
        <v>3.8260000000000001</v>
      </c>
      <c r="P80" s="217">
        <v>9.4E-2</v>
      </c>
      <c r="Q80" s="217">
        <v>9.4E-2</v>
      </c>
      <c r="R80" s="217" t="s">
        <v>1038</v>
      </c>
      <c r="S80" s="217">
        <v>6.0000000000000001E-3</v>
      </c>
      <c r="T80" s="217"/>
      <c r="U80" s="217"/>
      <c r="V80" s="217" t="s">
        <v>1038</v>
      </c>
      <c r="W80" s="217" t="s">
        <v>1038</v>
      </c>
      <c r="X80" s="217" t="s">
        <v>1038</v>
      </c>
      <c r="Y80" s="218" t="s">
        <v>1088</v>
      </c>
      <c r="Z80" s="216">
        <f>SUM(H80:Y80)</f>
        <v>97.144999999999982</v>
      </c>
      <c r="AA80" s="222">
        <f>-(O80*15.9994/(2*18.9984))</f>
        <v>-1.6110226229577227</v>
      </c>
      <c r="AB80" s="222">
        <f>-(P80*15.9994/(2*35.4527))</f>
        <v>-2.1210565062745573E-2</v>
      </c>
      <c r="AC80" s="222">
        <f t="shared" si="14"/>
        <v>95.512766811979517</v>
      </c>
      <c r="AD80" s="95">
        <v>0.98700448018590226</v>
      </c>
      <c r="AE80" s="95">
        <v>1.2995519814097639E-2</v>
      </c>
      <c r="AF80" s="95">
        <v>0</v>
      </c>
      <c r="AG80" s="96">
        <v>-0.13930471105526585</v>
      </c>
      <c r="AH80" s="96"/>
      <c r="AI80" s="216">
        <f t="shared" si="13"/>
        <v>75.949596038104787</v>
      </c>
      <c r="AJ80" s="95"/>
    </row>
    <row r="81" spans="1:36" s="240" customFormat="1" ht="14" customHeight="1">
      <c r="A81" s="223" t="s">
        <v>281</v>
      </c>
      <c r="B81" s="34"/>
      <c r="H81" s="241"/>
      <c r="I81" s="242"/>
      <c r="J81" s="241"/>
      <c r="K81" s="242"/>
      <c r="L81" s="242"/>
      <c r="M81" s="242"/>
      <c r="N81" s="242"/>
      <c r="O81" s="242"/>
      <c r="P81" s="180">
        <f>AVERAGE(P74:P80)</f>
        <v>7.2250000000000009E-2</v>
      </c>
      <c r="Q81" s="242"/>
      <c r="R81" s="242"/>
      <c r="S81" s="242"/>
      <c r="T81" s="180"/>
      <c r="U81" s="180"/>
      <c r="V81" s="242"/>
      <c r="W81" s="242"/>
      <c r="X81" s="242"/>
      <c r="Y81" s="243"/>
      <c r="Z81" s="241"/>
      <c r="AA81" s="244"/>
      <c r="AB81" s="244"/>
      <c r="AC81" s="244"/>
      <c r="AD81" s="245"/>
      <c r="AE81" s="245"/>
      <c r="AF81" s="245"/>
      <c r="AG81" s="246"/>
      <c r="AH81" s="246"/>
      <c r="AI81" s="232"/>
      <c r="AJ81" s="245"/>
    </row>
    <row r="82" spans="1:36" s="34" customFormat="1" ht="14" customHeight="1">
      <c r="A82" s="34" t="s">
        <v>204</v>
      </c>
      <c r="H82" s="232"/>
      <c r="I82" s="180"/>
      <c r="J82" s="232"/>
      <c r="K82" s="180"/>
      <c r="L82" s="180"/>
      <c r="M82" s="180"/>
      <c r="N82" s="180"/>
      <c r="O82" s="180"/>
      <c r="P82" s="180">
        <f>_xlfn.STDEV.S(P74:P80)</f>
        <v>2.095033810387472E-2</v>
      </c>
      <c r="Q82" s="180"/>
      <c r="R82" s="180"/>
      <c r="S82" s="180"/>
      <c r="T82" s="180"/>
      <c r="U82" s="180"/>
      <c r="V82" s="233"/>
      <c r="W82" s="180"/>
      <c r="X82" s="180"/>
      <c r="Y82" s="215"/>
      <c r="Z82" s="232"/>
      <c r="AA82" s="234"/>
      <c r="AB82" s="234"/>
      <c r="AC82" s="234"/>
      <c r="AD82" s="235"/>
      <c r="AE82" s="235"/>
      <c r="AF82" s="235"/>
      <c r="AG82" s="159"/>
      <c r="AH82" s="159"/>
      <c r="AI82" s="232"/>
      <c r="AJ82" s="235"/>
    </row>
    <row r="83" spans="1:36" s="247" customFormat="1" ht="14" customHeight="1">
      <c r="A83" s="247" t="s">
        <v>322</v>
      </c>
      <c r="B83" s="247" t="s">
        <v>93</v>
      </c>
      <c r="C83" s="247" t="s">
        <v>1106</v>
      </c>
      <c r="D83" s="247" t="s">
        <v>1085</v>
      </c>
      <c r="E83" s="247" t="s">
        <v>1100</v>
      </c>
      <c r="F83" s="247" t="s">
        <v>1087</v>
      </c>
      <c r="G83" s="247" t="s">
        <v>1094</v>
      </c>
      <c r="H83" s="248">
        <v>39.677</v>
      </c>
      <c r="I83" s="249">
        <v>0.72499999999999998</v>
      </c>
      <c r="J83" s="248">
        <v>53.533999999999999</v>
      </c>
      <c r="K83" s="249" t="s">
        <v>1038</v>
      </c>
      <c r="L83" s="249">
        <v>0.14699999999999999</v>
      </c>
      <c r="M83" s="249">
        <v>9.8000000000000004E-2</v>
      </c>
      <c r="N83" s="249" t="s">
        <v>1038</v>
      </c>
      <c r="O83" s="249">
        <v>4.431</v>
      </c>
      <c r="P83" s="249" t="s">
        <v>1038</v>
      </c>
      <c r="Q83" s="249">
        <v>8.0000000000000002E-3</v>
      </c>
      <c r="R83" s="249" t="s">
        <v>1038</v>
      </c>
      <c r="S83" s="247">
        <v>0</v>
      </c>
      <c r="T83" s="249"/>
      <c r="U83" s="249"/>
      <c r="V83" s="249" t="s">
        <v>1038</v>
      </c>
      <c r="W83" s="249" t="s">
        <v>1038</v>
      </c>
      <c r="X83" s="249" t="s">
        <v>1038</v>
      </c>
      <c r="Y83" s="250" t="s">
        <v>1089</v>
      </c>
      <c r="Z83" s="248">
        <f>SUM(H83:Y83)</f>
        <v>98.62</v>
      </c>
      <c r="AA83" s="251">
        <f>-(O83*15.9994/(2*18.9984))</f>
        <v>-1.8657713649570489</v>
      </c>
      <c r="AB83" s="251"/>
      <c r="AC83" s="251">
        <f t="shared" ref="AC83:AC86" si="15">Z83+SUM(AA83:AB83)</f>
        <v>96.754228635042949</v>
      </c>
      <c r="AD83" s="252"/>
      <c r="AE83" s="252"/>
      <c r="AF83" s="252"/>
      <c r="AG83" s="253"/>
      <c r="AH83" s="253"/>
      <c r="AI83" s="248"/>
      <c r="AJ83" s="252"/>
    </row>
    <row r="84" spans="1:36" s="247" customFormat="1" ht="14" customHeight="1">
      <c r="A84" s="247" t="s">
        <v>1107</v>
      </c>
      <c r="B84" s="247" t="s">
        <v>93</v>
      </c>
      <c r="C84" s="247" t="s">
        <v>90</v>
      </c>
      <c r="D84" s="247" t="s">
        <v>1085</v>
      </c>
      <c r="E84" s="247" t="s">
        <v>1100</v>
      </c>
      <c r="F84" s="247" t="s">
        <v>1087</v>
      </c>
      <c r="G84" s="247" t="s">
        <v>1094</v>
      </c>
      <c r="H84" s="248">
        <v>41.033000000000001</v>
      </c>
      <c r="I84" s="249">
        <v>0.40100000000000002</v>
      </c>
      <c r="J84" s="248">
        <v>54.064999999999998</v>
      </c>
      <c r="K84" s="249" t="s">
        <v>1038</v>
      </c>
      <c r="L84" s="249">
        <v>0.192</v>
      </c>
      <c r="M84" s="249">
        <v>0.121</v>
      </c>
      <c r="N84" s="249" t="s">
        <v>1038</v>
      </c>
      <c r="O84" s="249">
        <v>4.1429999999999998</v>
      </c>
      <c r="P84" s="249" t="s">
        <v>1038</v>
      </c>
      <c r="Q84" s="249">
        <v>2.9000000000000001E-2</v>
      </c>
      <c r="R84" s="249" t="s">
        <v>1038</v>
      </c>
      <c r="S84" s="249">
        <v>0.01</v>
      </c>
      <c r="T84" s="249"/>
      <c r="U84" s="249"/>
      <c r="V84" s="249" t="s">
        <v>1038</v>
      </c>
      <c r="W84" s="249" t="s">
        <v>1038</v>
      </c>
      <c r="X84" s="249" t="s">
        <v>1038</v>
      </c>
      <c r="Y84" s="250" t="s">
        <v>1089</v>
      </c>
      <c r="Z84" s="248">
        <f>SUM(H84:Y84)</f>
        <v>99.993999999999986</v>
      </c>
      <c r="AA84" s="251">
        <f>-(O84*15.9994/(2*18.9984))</f>
        <v>-1.744502542319353</v>
      </c>
      <c r="AB84" s="251"/>
      <c r="AC84" s="251">
        <f t="shared" si="15"/>
        <v>98.249497457680633</v>
      </c>
      <c r="AD84" s="252"/>
      <c r="AE84" s="252"/>
      <c r="AF84" s="252"/>
      <c r="AG84" s="253"/>
      <c r="AH84" s="253"/>
      <c r="AI84" s="248"/>
      <c r="AJ84" s="252"/>
    </row>
    <row r="85" spans="1:36" s="247" customFormat="1" ht="14" customHeight="1">
      <c r="A85" s="247" t="s">
        <v>1108</v>
      </c>
      <c r="B85" s="247" t="s">
        <v>93</v>
      </c>
      <c r="C85" s="247" t="s">
        <v>90</v>
      </c>
      <c r="D85" s="247" t="s">
        <v>1085</v>
      </c>
      <c r="E85" s="247" t="s">
        <v>1100</v>
      </c>
      <c r="F85" s="247" t="s">
        <v>1087</v>
      </c>
      <c r="G85" s="247" t="s">
        <v>1094</v>
      </c>
      <c r="H85" s="248">
        <v>41.417999999999999</v>
      </c>
      <c r="I85" s="249">
        <v>0.45</v>
      </c>
      <c r="J85" s="248">
        <v>54.44</v>
      </c>
      <c r="K85" s="249" t="s">
        <v>1038</v>
      </c>
      <c r="L85" s="249">
        <v>0.14099999999999999</v>
      </c>
      <c r="M85" s="249">
        <v>0.14299999999999999</v>
      </c>
      <c r="N85" s="249" t="s">
        <v>1038</v>
      </c>
      <c r="O85" s="249">
        <v>3.9790000000000001</v>
      </c>
      <c r="P85" s="249" t="s">
        <v>1038</v>
      </c>
      <c r="Q85" s="249">
        <v>1.2999999999999999E-2</v>
      </c>
      <c r="R85" s="249" t="s">
        <v>1038</v>
      </c>
      <c r="S85" s="249">
        <v>2E-3</v>
      </c>
      <c r="T85" s="249"/>
      <c r="U85" s="249"/>
      <c r="V85" s="249" t="s">
        <v>1038</v>
      </c>
      <c r="W85" s="249" t="s">
        <v>1038</v>
      </c>
      <c r="X85" s="249" t="s">
        <v>1038</v>
      </c>
      <c r="Y85" s="250" t="s">
        <v>1088</v>
      </c>
      <c r="Z85" s="248">
        <f>SUM(H85:Y85)</f>
        <v>100.586</v>
      </c>
      <c r="AA85" s="251">
        <f>-(O85*15.9994/(2*18.9984))</f>
        <v>-1.6754466849839986</v>
      </c>
      <c r="AB85" s="251"/>
      <c r="AC85" s="251">
        <f t="shared" si="15"/>
        <v>98.910553315016003</v>
      </c>
      <c r="AD85" s="252"/>
      <c r="AE85" s="252"/>
      <c r="AF85" s="252"/>
      <c r="AG85" s="253"/>
      <c r="AH85" s="253"/>
      <c r="AI85" s="248"/>
      <c r="AJ85" s="252"/>
    </row>
    <row r="86" spans="1:36" s="247" customFormat="1" ht="14" customHeight="1">
      <c r="A86" s="247" t="s">
        <v>374</v>
      </c>
      <c r="B86" s="247" t="s">
        <v>93</v>
      </c>
      <c r="C86" s="247" t="s">
        <v>90</v>
      </c>
      <c r="D86" s="247" t="s">
        <v>1085</v>
      </c>
      <c r="E86" s="247" t="s">
        <v>1100</v>
      </c>
      <c r="F86" s="247" t="s">
        <v>1087</v>
      </c>
      <c r="G86" s="247" t="s">
        <v>1037</v>
      </c>
      <c r="H86" s="248">
        <v>40.409999999999997</v>
      </c>
      <c r="I86" s="249">
        <v>0.57699999999999996</v>
      </c>
      <c r="J86" s="248">
        <v>53.078000000000003</v>
      </c>
      <c r="K86" s="249" t="s">
        <v>1038</v>
      </c>
      <c r="L86" s="249">
        <v>0.13100000000000001</v>
      </c>
      <c r="M86" s="249">
        <v>0.11</v>
      </c>
      <c r="N86" s="249" t="s">
        <v>1038</v>
      </c>
      <c r="O86" s="249">
        <v>4.3310000000000004</v>
      </c>
      <c r="P86" s="249" t="s">
        <v>1038</v>
      </c>
      <c r="Q86" s="249">
        <v>8.0000000000000002E-3</v>
      </c>
      <c r="R86" s="249" t="s">
        <v>1038</v>
      </c>
      <c r="S86" s="249">
        <v>1.7999999999999999E-2</v>
      </c>
      <c r="T86" s="249"/>
      <c r="U86" s="249"/>
      <c r="V86" s="249" t="s">
        <v>1038</v>
      </c>
      <c r="W86" s="249" t="s">
        <v>1038</v>
      </c>
      <c r="X86" s="249" t="s">
        <v>1038</v>
      </c>
      <c r="Y86" s="250" t="s">
        <v>1088</v>
      </c>
      <c r="Z86" s="248">
        <f>SUM(H86:Y86)</f>
        <v>98.662999999999997</v>
      </c>
      <c r="AA86" s="251">
        <f>-(O86*15.9994/(2*18.9984))</f>
        <v>-1.823664134874516</v>
      </c>
      <c r="AB86" s="251"/>
      <c r="AC86" s="251">
        <f t="shared" si="15"/>
        <v>96.839335865125477</v>
      </c>
      <c r="AD86" s="252"/>
      <c r="AE86" s="252"/>
      <c r="AF86" s="252"/>
      <c r="AG86" s="253"/>
      <c r="AH86" s="253"/>
      <c r="AI86" s="248"/>
      <c r="AJ86" s="252"/>
    </row>
    <row r="87" spans="1:36" ht="14" customHeight="1">
      <c r="H87" s="216"/>
      <c r="I87" s="217"/>
      <c r="J87" s="216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24"/>
      <c r="W87" s="217"/>
      <c r="X87" s="217"/>
      <c r="Y87" s="218"/>
      <c r="Z87" s="216"/>
      <c r="AA87" s="219"/>
      <c r="AB87" s="219"/>
      <c r="AC87" s="219"/>
      <c r="AD87" s="95"/>
      <c r="AE87" s="95"/>
      <c r="AF87" s="95"/>
      <c r="AG87" s="96"/>
      <c r="AH87" s="96"/>
      <c r="AI87" s="216"/>
      <c r="AJ87" s="95"/>
    </row>
    <row r="88" spans="1:36" ht="14" customHeight="1">
      <c r="A88" s="3" t="s">
        <v>1109</v>
      </c>
      <c r="B88" s="3" t="s">
        <v>93</v>
      </c>
      <c r="C88" s="3" t="s">
        <v>124</v>
      </c>
      <c r="D88" s="3" t="s">
        <v>1110</v>
      </c>
      <c r="E88" s="3" t="s">
        <v>1086</v>
      </c>
      <c r="F88" s="3" t="s">
        <v>1036</v>
      </c>
      <c r="G88" s="3" t="s">
        <v>1094</v>
      </c>
      <c r="H88" s="216">
        <v>40.408999999999999</v>
      </c>
      <c r="I88" s="217">
        <v>0.58699999999999997</v>
      </c>
      <c r="J88" s="216">
        <v>53.287999999999997</v>
      </c>
      <c r="K88" s="217" t="s">
        <v>1038</v>
      </c>
      <c r="L88" s="217">
        <v>0.85599999999999998</v>
      </c>
      <c r="M88" s="217" t="s">
        <v>1038</v>
      </c>
      <c r="N88" s="217" t="s">
        <v>1038</v>
      </c>
      <c r="O88" s="217">
        <v>2.5510000000000002</v>
      </c>
      <c r="P88" s="217">
        <v>0.192</v>
      </c>
      <c r="Q88" s="217">
        <v>0.192</v>
      </c>
      <c r="R88" s="217">
        <v>3.4000000000000002E-2</v>
      </c>
      <c r="S88" s="217">
        <v>3.4000000000000002E-2</v>
      </c>
      <c r="T88" s="217">
        <f>S88*0.4</f>
        <v>1.3600000000000001E-2</v>
      </c>
      <c r="U88" s="217"/>
      <c r="V88" s="217">
        <v>0.437</v>
      </c>
      <c r="W88" s="217">
        <v>0.442</v>
      </c>
      <c r="X88" s="217" t="s">
        <v>1038</v>
      </c>
      <c r="Y88" s="218" t="s">
        <v>1089</v>
      </c>
      <c r="Z88" s="216">
        <f t="shared" ref="Z88:Z94" si="16">SUM(H88:Y88)</f>
        <v>99.035599999999974</v>
      </c>
      <c r="AA88" s="219">
        <f t="shared" ref="AA88:AA94" si="17">-(O88*15.9994/(2*18.9984))</f>
        <v>-1.0741554394054236</v>
      </c>
      <c r="AB88" s="219">
        <f t="shared" ref="AB88:AB94" si="18">-(P88*15.9994/(2*35.4527))</f>
        <v>-4.3323707362203721E-2</v>
      </c>
      <c r="AC88" s="219">
        <f t="shared" si="14"/>
        <v>97.918120853232352</v>
      </c>
      <c r="AD88" s="95">
        <v>0.69748944498426524</v>
      </c>
      <c r="AE88" s="95">
        <v>2.8133259606766398E-2</v>
      </c>
      <c r="AF88" s="95">
        <v>0.27437729540896838</v>
      </c>
      <c r="AG88" s="96">
        <v>0.47539610120907805</v>
      </c>
      <c r="AH88" s="96">
        <f t="shared" si="11"/>
        <v>2.5420814938227099</v>
      </c>
      <c r="AI88" s="216">
        <f t="shared" si="13"/>
        <v>24.792343821279434</v>
      </c>
      <c r="AJ88" s="95">
        <f t="shared" si="12"/>
        <v>0.10253494030850056</v>
      </c>
    </row>
    <row r="89" spans="1:36" ht="14" customHeight="1">
      <c r="A89" s="3" t="s">
        <v>1111</v>
      </c>
      <c r="B89" s="3" t="s">
        <v>93</v>
      </c>
      <c r="C89" s="3" t="s">
        <v>124</v>
      </c>
      <c r="D89" s="3" t="s">
        <v>1110</v>
      </c>
      <c r="E89" s="3" t="s">
        <v>1086</v>
      </c>
      <c r="F89" s="3" t="s">
        <v>1036</v>
      </c>
      <c r="G89" s="3" t="s">
        <v>1094</v>
      </c>
      <c r="H89" s="216">
        <v>41.892000000000003</v>
      </c>
      <c r="I89" s="217">
        <v>4.5999999999999999E-2</v>
      </c>
      <c r="J89" s="216">
        <v>54.606999999999999</v>
      </c>
      <c r="K89" s="217" t="s">
        <v>1038</v>
      </c>
      <c r="L89" s="217" t="s">
        <v>1038</v>
      </c>
      <c r="M89" s="217" t="s">
        <v>1038</v>
      </c>
      <c r="N89" s="217" t="s">
        <v>1038</v>
      </c>
      <c r="O89" s="217">
        <v>2.57</v>
      </c>
      <c r="P89" s="217">
        <v>0.34699999999999998</v>
      </c>
      <c r="Q89" s="217">
        <v>0.34699999999999998</v>
      </c>
      <c r="R89" s="217" t="s">
        <v>1038</v>
      </c>
      <c r="S89" s="217">
        <v>8.0000000000000002E-3</v>
      </c>
      <c r="T89" s="217"/>
      <c r="U89" s="217"/>
      <c r="V89" s="224" t="s">
        <v>1038</v>
      </c>
      <c r="W89" s="217" t="s">
        <v>1038</v>
      </c>
      <c r="X89" s="217" t="s">
        <v>1038</v>
      </c>
      <c r="Y89" s="218" t="s">
        <v>1089</v>
      </c>
      <c r="Z89" s="216">
        <f t="shared" si="16"/>
        <v>99.816999999999979</v>
      </c>
      <c r="AA89" s="219">
        <f t="shared" si="17"/>
        <v>-1.0821558131211049</v>
      </c>
      <c r="AB89" s="219">
        <f t="shared" si="18"/>
        <v>-7.8298575284816097E-2</v>
      </c>
      <c r="AC89" s="219">
        <f t="shared" si="14"/>
        <v>98.656545611594055</v>
      </c>
      <c r="AD89" s="95">
        <v>0.68990801641393273</v>
      </c>
      <c r="AE89" s="95">
        <v>4.9920529885943012E-2</v>
      </c>
      <c r="AF89" s="95">
        <v>0.26017145370012423</v>
      </c>
      <c r="AG89" s="96">
        <v>0.4591305611615264</v>
      </c>
      <c r="AH89" s="96">
        <f t="shared" si="11"/>
        <v>2.6517437120873621</v>
      </c>
      <c r="AI89" s="216">
        <f t="shared" si="13"/>
        <v>13.820126068177055</v>
      </c>
      <c r="AJ89" s="95">
        <f t="shared" si="12"/>
        <v>0.19187550815425672</v>
      </c>
    </row>
    <row r="90" spans="1:36" ht="14" customHeight="1">
      <c r="A90" s="3" t="s">
        <v>1112</v>
      </c>
      <c r="B90" s="3" t="s">
        <v>93</v>
      </c>
      <c r="C90" s="3" t="s">
        <v>124</v>
      </c>
      <c r="D90" s="3" t="s">
        <v>1110</v>
      </c>
      <c r="E90" s="3" t="s">
        <v>1086</v>
      </c>
      <c r="F90" s="3" t="s">
        <v>1036</v>
      </c>
      <c r="G90" s="3" t="s">
        <v>1094</v>
      </c>
      <c r="H90" s="216">
        <v>41.5</v>
      </c>
      <c r="I90" s="217">
        <v>0.05</v>
      </c>
      <c r="J90" s="216">
        <v>55.287999999999997</v>
      </c>
      <c r="K90" s="217" t="s">
        <v>1038</v>
      </c>
      <c r="L90" s="217">
        <v>0.16500000000000001</v>
      </c>
      <c r="M90" s="217" t="s">
        <v>1038</v>
      </c>
      <c r="N90" s="217" t="s">
        <v>1038</v>
      </c>
      <c r="O90" s="217">
        <v>2.5059999999999998</v>
      </c>
      <c r="P90" s="217">
        <v>0.34799999999999998</v>
      </c>
      <c r="Q90" s="217">
        <v>0.34799999999999998</v>
      </c>
      <c r="R90" s="217" t="s">
        <v>1038</v>
      </c>
      <c r="S90" s="217">
        <v>0</v>
      </c>
      <c r="T90" s="217"/>
      <c r="U90" s="217"/>
      <c r="V90" s="224" t="s">
        <v>1038</v>
      </c>
      <c r="W90" s="217" t="s">
        <v>1038</v>
      </c>
      <c r="X90" s="217" t="s">
        <v>1038</v>
      </c>
      <c r="Y90" s="218" t="s">
        <v>1089</v>
      </c>
      <c r="Z90" s="216">
        <f t="shared" si="16"/>
        <v>100.205</v>
      </c>
      <c r="AA90" s="219">
        <f t="shared" si="17"/>
        <v>-1.0552071858682837</v>
      </c>
      <c r="AB90" s="219">
        <f t="shared" si="18"/>
        <v>-7.8524219593994249E-2</v>
      </c>
      <c r="AC90" s="219">
        <f t="shared" si="14"/>
        <v>99.071268594537713</v>
      </c>
      <c r="AD90" s="95">
        <v>0.67251750865663451</v>
      </c>
      <c r="AE90" s="95">
        <v>5.0048770905276048E-2</v>
      </c>
      <c r="AF90" s="95">
        <v>0.27743372043808945</v>
      </c>
      <c r="AG90" s="96">
        <v>0.48974650249990087</v>
      </c>
      <c r="AH90" s="96">
        <f t="shared" si="11"/>
        <v>2.424065494254545</v>
      </c>
      <c r="AI90" s="216">
        <f t="shared" si="13"/>
        <v>13.437243242785389</v>
      </c>
      <c r="AJ90" s="95">
        <f t="shared" si="12"/>
        <v>0.18039901864216484</v>
      </c>
    </row>
    <row r="91" spans="1:36" ht="14" customHeight="1">
      <c r="A91" s="3" t="s">
        <v>1113</v>
      </c>
      <c r="B91" s="3" t="s">
        <v>93</v>
      </c>
      <c r="C91" s="3" t="s">
        <v>124</v>
      </c>
      <c r="D91" s="3" t="s">
        <v>1110</v>
      </c>
      <c r="E91" s="3" t="s">
        <v>1086</v>
      </c>
      <c r="F91" s="3" t="s">
        <v>1036</v>
      </c>
      <c r="G91" s="3" t="s">
        <v>1094</v>
      </c>
      <c r="H91" s="216">
        <v>41.698999999999998</v>
      </c>
      <c r="I91" s="217">
        <v>0.04</v>
      </c>
      <c r="J91" s="216">
        <v>55.145000000000003</v>
      </c>
      <c r="K91" s="217" t="s">
        <v>1038</v>
      </c>
      <c r="L91" s="217">
        <v>0.22800000000000001</v>
      </c>
      <c r="M91" s="217">
        <v>4.5999999999999999E-2</v>
      </c>
      <c r="N91" s="217" t="s">
        <v>1038</v>
      </c>
      <c r="O91" s="217">
        <v>2.3210000000000002</v>
      </c>
      <c r="P91" s="217">
        <v>0.52300000000000002</v>
      </c>
      <c r="Q91" s="217">
        <v>0.52300000000000002</v>
      </c>
      <c r="R91" s="217" t="s">
        <v>1038</v>
      </c>
      <c r="S91" s="217">
        <v>2E-3</v>
      </c>
      <c r="T91" s="217"/>
      <c r="U91" s="217"/>
      <c r="V91" s="224" t="s">
        <v>1038</v>
      </c>
      <c r="W91" s="217" t="s">
        <v>1038</v>
      </c>
      <c r="X91" s="217" t="s">
        <v>1038</v>
      </c>
      <c r="Y91" s="218" t="s">
        <v>1089</v>
      </c>
      <c r="Z91" s="216">
        <f t="shared" si="16"/>
        <v>100.52699999999999</v>
      </c>
      <c r="AA91" s="219">
        <f t="shared" si="17"/>
        <v>-0.97730881021559712</v>
      </c>
      <c r="AB91" s="219">
        <f t="shared" si="18"/>
        <v>-0.11801197370016951</v>
      </c>
      <c r="AC91" s="219">
        <f t="shared" si="14"/>
        <v>99.43167921608422</v>
      </c>
      <c r="AD91" s="95">
        <v>0.62141396770607649</v>
      </c>
      <c r="AE91" s="95">
        <v>7.5041101977286681E-2</v>
      </c>
      <c r="AF91" s="95">
        <v>0.30354493031663682</v>
      </c>
      <c r="AG91" s="96">
        <v>0.53709577940297881</v>
      </c>
      <c r="AH91" s="96">
        <f t="shared" si="11"/>
        <v>2.0471894129737596</v>
      </c>
      <c r="AI91" s="217">
        <f t="shared" si="13"/>
        <v>8.2809813733034598</v>
      </c>
      <c r="AJ91" s="95">
        <f t="shared" si="12"/>
        <v>0.24721579734179405</v>
      </c>
    </row>
    <row r="92" spans="1:36" ht="14" customHeight="1">
      <c r="A92" s="3" t="s">
        <v>1114</v>
      </c>
      <c r="B92" s="3" t="s">
        <v>93</v>
      </c>
      <c r="C92" s="3" t="s">
        <v>124</v>
      </c>
      <c r="D92" s="3" t="s">
        <v>1110</v>
      </c>
      <c r="E92" s="3" t="s">
        <v>1086</v>
      </c>
      <c r="F92" s="3" t="s">
        <v>1036</v>
      </c>
      <c r="G92" s="3" t="s">
        <v>1094</v>
      </c>
      <c r="H92" s="216">
        <v>41.655999999999999</v>
      </c>
      <c r="I92" s="217">
        <v>7.6999999999999999E-2</v>
      </c>
      <c r="J92" s="216">
        <v>55.070999999999998</v>
      </c>
      <c r="K92" s="217" t="s">
        <v>1038</v>
      </c>
      <c r="L92" s="217">
        <v>0.20100000000000001</v>
      </c>
      <c r="M92" s="217">
        <v>2.9000000000000001E-2</v>
      </c>
      <c r="N92" s="217" t="s">
        <v>1038</v>
      </c>
      <c r="O92" s="217">
        <v>2.4180000000000001</v>
      </c>
      <c r="P92" s="217">
        <v>0.47699999999999998</v>
      </c>
      <c r="Q92" s="217">
        <v>0.47699999999999998</v>
      </c>
      <c r="R92" s="217" t="s">
        <v>1038</v>
      </c>
      <c r="S92" s="217">
        <v>0</v>
      </c>
      <c r="T92" s="217"/>
      <c r="U92" s="217"/>
      <c r="V92" s="224" t="s">
        <v>1038</v>
      </c>
      <c r="W92" s="217" t="s">
        <v>1038</v>
      </c>
      <c r="X92" s="217" t="s">
        <v>1038</v>
      </c>
      <c r="Y92" s="218" t="s">
        <v>1089</v>
      </c>
      <c r="Z92" s="216">
        <f t="shared" si="16"/>
        <v>100.40600000000001</v>
      </c>
      <c r="AA92" s="219">
        <f t="shared" si="17"/>
        <v>-1.0181528233956545</v>
      </c>
      <c r="AB92" s="219">
        <f t="shared" si="18"/>
        <v>-0.10763233547797486</v>
      </c>
      <c r="AC92" s="219">
        <f t="shared" si="14"/>
        <v>99.28021484112638</v>
      </c>
      <c r="AD92" s="95">
        <v>0.64797831305848819</v>
      </c>
      <c r="AE92" s="95">
        <v>6.8503726516784907E-2</v>
      </c>
      <c r="AF92" s="95">
        <v>0.28351796042472688</v>
      </c>
      <c r="AG92" s="96">
        <v>0.50119996008466294</v>
      </c>
      <c r="AH92" s="96">
        <f t="shared" si="11"/>
        <v>2.285492996943749</v>
      </c>
      <c r="AI92" s="217">
        <f t="shared" si="13"/>
        <v>9.4590228299437022</v>
      </c>
      <c r="AJ92" s="95">
        <f t="shared" si="12"/>
        <v>0.24162041238644008</v>
      </c>
    </row>
    <row r="93" spans="1:36" ht="14" customHeight="1">
      <c r="A93" s="3" t="s">
        <v>1115</v>
      </c>
      <c r="B93" s="3" t="s">
        <v>93</v>
      </c>
      <c r="C93" s="3" t="s">
        <v>124</v>
      </c>
      <c r="D93" s="3" t="s">
        <v>1110</v>
      </c>
      <c r="E93" s="3" t="s">
        <v>1086</v>
      </c>
      <c r="F93" s="3" t="s">
        <v>1036</v>
      </c>
      <c r="G93" s="3" t="s">
        <v>1094</v>
      </c>
      <c r="H93" s="216">
        <v>42.540999999999997</v>
      </c>
      <c r="I93" s="217">
        <v>4.2999999999999997E-2</v>
      </c>
      <c r="J93" s="216">
        <v>55.069000000000003</v>
      </c>
      <c r="K93" s="217" t="s">
        <v>1038</v>
      </c>
      <c r="L93" s="217">
        <v>0.16300000000000001</v>
      </c>
      <c r="M93" s="217">
        <v>2.5000000000000001E-2</v>
      </c>
      <c r="N93" s="217" t="s">
        <v>1038</v>
      </c>
      <c r="O93" s="217">
        <v>2.4180000000000001</v>
      </c>
      <c r="P93" s="217">
        <v>0.36199999999999999</v>
      </c>
      <c r="Q93" s="217">
        <v>0.36199999999999999</v>
      </c>
      <c r="R93" s="217" t="s">
        <v>1038</v>
      </c>
      <c r="S93" s="217">
        <v>3.0000000000000001E-3</v>
      </c>
      <c r="T93" s="217"/>
      <c r="U93" s="217"/>
      <c r="V93" s="224" t="s">
        <v>1038</v>
      </c>
      <c r="W93" s="217" t="s">
        <v>1038</v>
      </c>
      <c r="X93" s="217" t="s">
        <v>1038</v>
      </c>
      <c r="Y93" s="218" t="s">
        <v>1089</v>
      </c>
      <c r="Z93" s="216">
        <f t="shared" si="16"/>
        <v>100.98599999999999</v>
      </c>
      <c r="AA93" s="219">
        <f t="shared" si="17"/>
        <v>-1.0181528233956545</v>
      </c>
      <c r="AB93" s="219">
        <f t="shared" si="18"/>
        <v>-8.1683239922488271E-2</v>
      </c>
      <c r="AC93" s="219">
        <f t="shared" si="14"/>
        <v>99.886163936681854</v>
      </c>
      <c r="AD93" s="95">
        <v>0.64030737054276365</v>
      </c>
      <c r="AE93" s="95">
        <v>5.1372703222036603E-2</v>
      </c>
      <c r="AF93" s="95">
        <v>0.30831992623519977</v>
      </c>
      <c r="AG93" s="96">
        <v>0.55157429052678031</v>
      </c>
      <c r="AH93" s="96">
        <f t="shared" si="11"/>
        <v>2.0767628559119125</v>
      </c>
      <c r="AI93" s="216">
        <f t="shared" si="13"/>
        <v>12.463961021776644</v>
      </c>
      <c r="AJ93" s="95">
        <f t="shared" si="12"/>
        <v>0.16662141772454656</v>
      </c>
    </row>
    <row r="94" spans="1:36" ht="14" customHeight="1">
      <c r="A94" s="3" t="s">
        <v>1116</v>
      </c>
      <c r="B94" s="3" t="s">
        <v>93</v>
      </c>
      <c r="C94" s="3" t="s">
        <v>124</v>
      </c>
      <c r="D94" s="3" t="s">
        <v>1110</v>
      </c>
      <c r="E94" s="3" t="s">
        <v>1086</v>
      </c>
      <c r="F94" s="3" t="s">
        <v>1036</v>
      </c>
      <c r="G94" s="3" t="s">
        <v>1094</v>
      </c>
      <c r="H94" s="216">
        <v>41.3</v>
      </c>
      <c r="I94" s="217">
        <v>9.1999999999999998E-2</v>
      </c>
      <c r="J94" s="216">
        <v>55.112000000000002</v>
      </c>
      <c r="K94" s="217" t="s">
        <v>1038</v>
      </c>
      <c r="L94" s="217">
        <v>0.22600000000000001</v>
      </c>
      <c r="M94" s="217" t="s">
        <v>1038</v>
      </c>
      <c r="N94" s="217" t="s">
        <v>1038</v>
      </c>
      <c r="O94" s="217">
        <v>2.524</v>
      </c>
      <c r="P94" s="217">
        <v>0.33600000000000002</v>
      </c>
      <c r="Q94" s="217">
        <v>0.33600000000000002</v>
      </c>
      <c r="R94" s="217" t="s">
        <v>1038</v>
      </c>
      <c r="S94" s="217">
        <v>0</v>
      </c>
      <c r="T94" s="217"/>
      <c r="U94" s="217"/>
      <c r="V94" s="224" t="s">
        <v>1038</v>
      </c>
      <c r="W94" s="217" t="s">
        <v>1038</v>
      </c>
      <c r="X94" s="217" t="s">
        <v>1038</v>
      </c>
      <c r="Y94" s="218" t="s">
        <v>1089</v>
      </c>
      <c r="Z94" s="216">
        <f t="shared" si="16"/>
        <v>99.925999999999988</v>
      </c>
      <c r="AA94" s="219">
        <f t="shared" si="17"/>
        <v>-1.0627864872831396</v>
      </c>
      <c r="AB94" s="219">
        <f t="shared" si="18"/>
        <v>-7.5816487883856518E-2</v>
      </c>
      <c r="AC94" s="219">
        <f t="shared" si="14"/>
        <v>98.787397024832998</v>
      </c>
      <c r="AD94" s="95">
        <v>0.67954781520281771</v>
      </c>
      <c r="AE94" s="95">
        <v>4.847988613818454E-2</v>
      </c>
      <c r="AF94" s="95">
        <v>0.27197229865899775</v>
      </c>
      <c r="AG94" s="96">
        <v>0.47855144067697164</v>
      </c>
      <c r="AH94" s="96">
        <f t="shared" si="11"/>
        <v>2.4985920204132377</v>
      </c>
      <c r="AI94" s="216">
        <f t="shared" si="13"/>
        <v>14.017108317166217</v>
      </c>
      <c r="AJ94" s="95">
        <f t="shared" si="12"/>
        <v>0.17825302936079246</v>
      </c>
    </row>
    <row r="95" spans="1:36" s="34" customFormat="1" ht="14" customHeight="1">
      <c r="A95" s="223" t="s">
        <v>281</v>
      </c>
      <c r="H95" s="232"/>
      <c r="I95" s="180"/>
      <c r="J95" s="232"/>
      <c r="K95" s="180"/>
      <c r="L95" s="180"/>
      <c r="M95" s="180"/>
      <c r="N95" s="180"/>
      <c r="O95" s="180">
        <f>AVERAGE(O88:O94)</f>
        <v>2.4725714285714284</v>
      </c>
      <c r="P95" s="180">
        <f>AVERAGE(P88:P94)</f>
        <v>0.36928571428571427</v>
      </c>
      <c r="Q95" s="180"/>
      <c r="R95" s="180">
        <f>AVERAGE(R59:R94)</f>
        <v>3.4000000000000002E-2</v>
      </c>
      <c r="S95" s="180"/>
      <c r="T95" s="180"/>
      <c r="U95" s="180"/>
      <c r="V95" s="180"/>
      <c r="W95" s="180"/>
      <c r="X95" s="180"/>
      <c r="Y95" s="215"/>
      <c r="Z95" s="232"/>
      <c r="AA95" s="234"/>
      <c r="AB95" s="234"/>
      <c r="AC95" s="234"/>
      <c r="AD95" s="91"/>
      <c r="AE95" s="235"/>
      <c r="AF95" s="235"/>
      <c r="AG95" s="159"/>
      <c r="AH95" s="159"/>
      <c r="AI95" s="232"/>
      <c r="AJ95" s="235"/>
    </row>
    <row r="96" spans="1:36" s="34" customFormat="1" ht="14" customHeight="1">
      <c r="A96" s="34" t="s">
        <v>204</v>
      </c>
      <c r="H96" s="232"/>
      <c r="I96" s="180"/>
      <c r="J96" s="232"/>
      <c r="K96" s="180"/>
      <c r="L96" s="180"/>
      <c r="M96" s="180"/>
      <c r="N96" s="180"/>
      <c r="O96" s="180">
        <f>_xlfn.STDEV.S(O88:O94)</f>
        <v>8.9754957417138612E-2</v>
      </c>
      <c r="P96" s="180">
        <f>_xlfn.STDEV.S(P88:P94)</f>
        <v>0.10706028564273862</v>
      </c>
      <c r="Q96" s="180"/>
      <c r="R96" s="180"/>
      <c r="S96" s="180"/>
      <c r="T96" s="180"/>
      <c r="U96" s="180"/>
      <c r="V96" s="180"/>
      <c r="W96" s="180"/>
      <c r="X96" s="180"/>
      <c r="Z96" s="232"/>
      <c r="AA96" s="180"/>
      <c r="AB96" s="234"/>
      <c r="AC96" s="180"/>
      <c r="AD96" s="91"/>
      <c r="AE96" s="235"/>
      <c r="AF96" s="235"/>
      <c r="AG96" s="159"/>
      <c r="AH96" s="180"/>
      <c r="AI96" s="232"/>
    </row>
    <row r="97" spans="1:36" s="34" customFormat="1" ht="14" customHeight="1">
      <c r="H97" s="232"/>
      <c r="I97" s="180"/>
      <c r="J97" s="232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  <c r="X97" s="180"/>
      <c r="Z97" s="232"/>
      <c r="AA97" s="180"/>
      <c r="AB97" s="234"/>
      <c r="AC97" s="180"/>
      <c r="AD97" s="91"/>
      <c r="AE97" s="235"/>
      <c r="AF97" s="235"/>
      <c r="AG97" s="159"/>
      <c r="AH97" s="180"/>
      <c r="AI97" s="232"/>
    </row>
    <row r="98" spans="1:36" s="247" customFormat="1" ht="14" customHeight="1">
      <c r="A98" s="247" t="s">
        <v>477</v>
      </c>
      <c r="B98" s="247" t="s">
        <v>94</v>
      </c>
      <c r="C98" s="247" t="s">
        <v>89</v>
      </c>
      <c r="D98" s="247" t="s">
        <v>1117</v>
      </c>
      <c r="E98" s="247" t="s">
        <v>1118</v>
      </c>
      <c r="F98" s="247" t="s">
        <v>1036</v>
      </c>
      <c r="G98" s="247" t="s">
        <v>1119</v>
      </c>
      <c r="H98" s="248">
        <v>42.037999999999997</v>
      </c>
      <c r="I98" s="249">
        <v>6.0999999999999999E-2</v>
      </c>
      <c r="J98" s="248">
        <v>55.279000000000003</v>
      </c>
      <c r="K98" s="249" t="s">
        <v>1038</v>
      </c>
      <c r="L98" s="249">
        <v>0.13</v>
      </c>
      <c r="M98" s="249">
        <v>2.7E-2</v>
      </c>
      <c r="N98" s="249" t="s">
        <v>1038</v>
      </c>
      <c r="O98" s="249">
        <v>3.26</v>
      </c>
      <c r="P98" s="249">
        <v>0.10299999999999999</v>
      </c>
      <c r="Q98" s="249">
        <v>0.10299999999999999</v>
      </c>
      <c r="R98" s="249" t="s">
        <v>1038</v>
      </c>
      <c r="S98" s="249">
        <v>0</v>
      </c>
      <c r="T98" s="249"/>
      <c r="U98" s="249"/>
      <c r="V98" s="249" t="s">
        <v>1038</v>
      </c>
      <c r="W98" s="249" t="s">
        <v>1038</v>
      </c>
      <c r="X98" s="249" t="s">
        <v>1038</v>
      </c>
      <c r="Y98" s="250" t="s">
        <v>1089</v>
      </c>
      <c r="Z98" s="248">
        <f t="shared" ref="Z98:Z110" si="19">SUM(H98:Y98)</f>
        <v>101.00099999999999</v>
      </c>
      <c r="AA98" s="251">
        <f t="shared" ref="AA98:AA110" si="20">-(O98*15.9994/(2*18.9984))</f>
        <v>-1.3726957006905844</v>
      </c>
      <c r="AB98" s="251">
        <f t="shared" ref="AB98:AB110" si="21">-(P98*15.9994/(2*35.4527))</f>
        <v>-2.3241363845348872E-2</v>
      </c>
      <c r="AC98" s="251">
        <f t="shared" ref="AC98:AC107" si="22">Z98+SUM(AA98:AB98)</f>
        <v>99.605062935464062</v>
      </c>
      <c r="AD98" s="252">
        <v>0.86809836678714658</v>
      </c>
      <c r="AE98" s="252">
        <v>1.4698743374310035E-2</v>
      </c>
      <c r="AF98" s="252">
        <v>0.11720288983854338</v>
      </c>
      <c r="AG98" s="253">
        <v>0.2085074644593414</v>
      </c>
      <c r="AH98" s="253">
        <f t="shared" ref="AH98:AH116" si="23">AD98/AF98</f>
        <v>7.4068000198887889</v>
      </c>
      <c r="AI98" s="248">
        <f t="shared" si="13"/>
        <v>59.059359339818087</v>
      </c>
      <c r="AJ98" s="252">
        <f t="shared" si="13"/>
        <v>0.12541280675381608</v>
      </c>
    </row>
    <row r="99" spans="1:36" s="247" customFormat="1" ht="14" customHeight="1">
      <c r="A99" s="247" t="s">
        <v>478</v>
      </c>
      <c r="B99" s="247" t="s">
        <v>94</v>
      </c>
      <c r="C99" s="247" t="s">
        <v>89</v>
      </c>
      <c r="D99" s="247" t="s">
        <v>1117</v>
      </c>
      <c r="E99" s="247" t="s">
        <v>1118</v>
      </c>
      <c r="F99" s="247" t="s">
        <v>1036</v>
      </c>
      <c r="G99" s="247" t="s">
        <v>1119</v>
      </c>
      <c r="H99" s="248">
        <v>41.421999999999997</v>
      </c>
      <c r="I99" s="249">
        <v>6.9000000000000006E-2</v>
      </c>
      <c r="J99" s="248">
        <v>55.15</v>
      </c>
      <c r="K99" s="249">
        <v>8.5000000000000006E-2</v>
      </c>
      <c r="L99" s="249">
        <v>0.16</v>
      </c>
      <c r="M99" s="249">
        <v>4.8000000000000001E-2</v>
      </c>
      <c r="N99" s="249" t="s">
        <v>1038</v>
      </c>
      <c r="O99" s="249">
        <v>3.14</v>
      </c>
      <c r="P99" s="249">
        <v>0.17</v>
      </c>
      <c r="Q99" s="249">
        <v>0.17</v>
      </c>
      <c r="R99" s="249" t="s">
        <v>1038</v>
      </c>
      <c r="S99" s="249">
        <v>1.7000000000000001E-2</v>
      </c>
      <c r="T99" s="249"/>
      <c r="U99" s="249"/>
      <c r="V99" s="249" t="s">
        <v>1038</v>
      </c>
      <c r="W99" s="249" t="s">
        <v>1038</v>
      </c>
      <c r="X99" s="249" t="s">
        <v>1038</v>
      </c>
      <c r="Y99" s="250" t="s">
        <v>1089</v>
      </c>
      <c r="Z99" s="248">
        <f t="shared" si="19"/>
        <v>100.43099999999998</v>
      </c>
      <c r="AA99" s="251">
        <f t="shared" si="20"/>
        <v>-1.3221670245915444</v>
      </c>
      <c r="AB99" s="251">
        <f t="shared" si="21"/>
        <v>-3.835953256028455E-2</v>
      </c>
      <c r="AC99" s="251">
        <f t="shared" si="22"/>
        <v>99.070473442848154</v>
      </c>
      <c r="AD99" s="252">
        <v>0.84357929862346603</v>
      </c>
      <c r="AE99" s="252">
        <v>2.4475796336387159E-2</v>
      </c>
      <c r="AF99" s="252">
        <v>0.1319449050401468</v>
      </c>
      <c r="AG99" s="253">
        <v>0.23266496171418097</v>
      </c>
      <c r="AH99" s="253">
        <f t="shared" si="23"/>
        <v>6.3934207870079609</v>
      </c>
      <c r="AI99" s="248">
        <f t="shared" si="13"/>
        <v>34.465857087123716</v>
      </c>
      <c r="AJ99" s="252">
        <f t="shared" si="13"/>
        <v>0.18550012468416208</v>
      </c>
    </row>
    <row r="100" spans="1:36" s="247" customFormat="1" ht="14" customHeight="1">
      <c r="A100" s="247" t="s">
        <v>479</v>
      </c>
      <c r="B100" s="247" t="s">
        <v>94</v>
      </c>
      <c r="C100" s="247" t="s">
        <v>89</v>
      </c>
      <c r="D100" s="247" t="s">
        <v>1117</v>
      </c>
      <c r="E100" s="247" t="s">
        <v>1118</v>
      </c>
      <c r="F100" s="247" t="s">
        <v>1036</v>
      </c>
      <c r="G100" s="247" t="s">
        <v>1119</v>
      </c>
      <c r="H100" s="248">
        <v>42.722000000000001</v>
      </c>
      <c r="I100" s="249">
        <v>9.4E-2</v>
      </c>
      <c r="J100" s="248">
        <v>54.994999999999997</v>
      </c>
      <c r="K100" s="249" t="s">
        <v>1038</v>
      </c>
      <c r="L100" s="249">
        <v>0.14899999999999999</v>
      </c>
      <c r="M100" s="249">
        <v>3.3000000000000002E-2</v>
      </c>
      <c r="N100" s="249" t="s">
        <v>1038</v>
      </c>
      <c r="O100" s="249">
        <v>2.992</v>
      </c>
      <c r="P100" s="249">
        <v>0.18099999999999999</v>
      </c>
      <c r="Q100" s="249">
        <v>0.18099999999999999</v>
      </c>
      <c r="R100" s="249" t="s">
        <v>1038</v>
      </c>
      <c r="S100" s="249">
        <v>1.4E-2</v>
      </c>
      <c r="T100" s="249"/>
      <c r="U100" s="249"/>
      <c r="V100" s="249" t="s">
        <v>1038</v>
      </c>
      <c r="W100" s="249" t="s">
        <v>1038</v>
      </c>
      <c r="X100" s="249" t="s">
        <v>1038</v>
      </c>
      <c r="Y100" s="250" t="s">
        <v>1089</v>
      </c>
      <c r="Z100" s="248">
        <f t="shared" si="19"/>
        <v>101.361</v>
      </c>
      <c r="AA100" s="251">
        <f t="shared" si="20"/>
        <v>-1.2598483240693952</v>
      </c>
      <c r="AB100" s="251">
        <f t="shared" si="21"/>
        <v>-4.0841619961244136E-2</v>
      </c>
      <c r="AC100" s="251">
        <f t="shared" si="22"/>
        <v>100.06031005596937</v>
      </c>
      <c r="AD100" s="252">
        <v>0.79018057212415327</v>
      </c>
      <c r="AE100" s="252">
        <v>2.5617395727278894E-2</v>
      </c>
      <c r="AF100" s="252">
        <v>0.18420203214856784</v>
      </c>
      <c r="AG100" s="253">
        <v>0.33041844632358547</v>
      </c>
      <c r="AH100" s="253">
        <f t="shared" si="23"/>
        <v>4.2897494827138196</v>
      </c>
      <c r="AI100" s="248">
        <f t="shared" si="13"/>
        <v>30.845468467457174</v>
      </c>
      <c r="AJ100" s="252">
        <f t="shared" si="13"/>
        <v>0.13907227530810967</v>
      </c>
    </row>
    <row r="101" spans="1:36" s="247" customFormat="1" ht="14" customHeight="1">
      <c r="A101" s="247" t="s">
        <v>483</v>
      </c>
      <c r="B101" s="247" t="s">
        <v>94</v>
      </c>
      <c r="C101" s="247" t="s">
        <v>89</v>
      </c>
      <c r="D101" s="247" t="s">
        <v>1117</v>
      </c>
      <c r="E101" s="247" t="s">
        <v>1118</v>
      </c>
      <c r="F101" s="247" t="s">
        <v>1036</v>
      </c>
      <c r="G101" s="247" t="s">
        <v>1119</v>
      </c>
      <c r="H101" s="248">
        <v>41.652999999999999</v>
      </c>
      <c r="I101" s="249">
        <v>6.5000000000000002E-2</v>
      </c>
      <c r="J101" s="248">
        <v>55.616</v>
      </c>
      <c r="K101" s="249" t="s">
        <v>1038</v>
      </c>
      <c r="L101" s="249">
        <v>0.20200000000000001</v>
      </c>
      <c r="M101" s="249">
        <v>3.2000000000000001E-2</v>
      </c>
      <c r="N101" s="249" t="s">
        <v>1038</v>
      </c>
      <c r="O101" s="249">
        <v>3.1509999999999998</v>
      </c>
      <c r="P101" s="249">
        <v>0.27100000000000002</v>
      </c>
      <c r="Q101" s="249">
        <v>0.27100000000000002</v>
      </c>
      <c r="R101" s="249" t="s">
        <v>1038</v>
      </c>
      <c r="S101" s="249">
        <v>0</v>
      </c>
      <c r="T101" s="249"/>
      <c r="U101" s="249"/>
      <c r="V101" s="249" t="s">
        <v>1038</v>
      </c>
      <c r="W101" s="249" t="s">
        <v>1038</v>
      </c>
      <c r="X101" s="249" t="s">
        <v>1038</v>
      </c>
      <c r="Y101" s="250" t="s">
        <v>1089</v>
      </c>
      <c r="Z101" s="248">
        <f t="shared" si="19"/>
        <v>101.261</v>
      </c>
      <c r="AA101" s="251">
        <f t="shared" si="20"/>
        <v>-1.3267988199006231</v>
      </c>
      <c r="AB101" s="251">
        <f t="shared" si="21"/>
        <v>-6.1149607787277134E-2</v>
      </c>
      <c r="AC101" s="251">
        <f t="shared" si="22"/>
        <v>99.873051572312093</v>
      </c>
      <c r="AD101" s="252">
        <v>0.84123031811409932</v>
      </c>
      <c r="AE101" s="252">
        <v>3.8772825257856483E-2</v>
      </c>
      <c r="AF101" s="252">
        <v>0.1199968566280442</v>
      </c>
      <c r="AG101" s="253">
        <v>0.21293055328136926</v>
      </c>
      <c r="AH101" s="253">
        <f t="shared" si="23"/>
        <v>7.0104362876910331</v>
      </c>
      <c r="AI101" s="248">
        <f t="shared" si="13"/>
        <v>21.696389482054624</v>
      </c>
      <c r="AJ101" s="252">
        <f t="shared" si="13"/>
        <v>0.32311534107965101</v>
      </c>
    </row>
    <row r="102" spans="1:36" s="247" customFormat="1" ht="14" customHeight="1">
      <c r="A102" s="247" t="s">
        <v>484</v>
      </c>
      <c r="B102" s="247" t="s">
        <v>94</v>
      </c>
      <c r="C102" s="247" t="s">
        <v>89</v>
      </c>
      <c r="D102" s="247" t="s">
        <v>1117</v>
      </c>
      <c r="E102" s="247" t="s">
        <v>1118</v>
      </c>
      <c r="F102" s="247" t="s">
        <v>1036</v>
      </c>
      <c r="G102" s="247" t="s">
        <v>1119</v>
      </c>
      <c r="H102" s="248">
        <v>42.156999999999996</v>
      </c>
      <c r="I102" s="249">
        <v>0.123</v>
      </c>
      <c r="J102" s="248">
        <v>54.982999999999997</v>
      </c>
      <c r="K102" s="249" t="s">
        <v>1038</v>
      </c>
      <c r="L102" s="249">
        <v>0.22800000000000001</v>
      </c>
      <c r="M102" s="249">
        <v>4.2999999999999997E-2</v>
      </c>
      <c r="N102" s="249" t="s">
        <v>1038</v>
      </c>
      <c r="O102" s="249">
        <v>3.18</v>
      </c>
      <c r="P102" s="249">
        <v>0.14199999999999999</v>
      </c>
      <c r="Q102" s="249">
        <v>0.14199999999999999</v>
      </c>
      <c r="R102" s="249" t="s">
        <v>1038</v>
      </c>
      <c r="S102" s="249">
        <v>2.3E-2</v>
      </c>
      <c r="T102" s="249"/>
      <c r="U102" s="249"/>
      <c r="V102" s="249" t="s">
        <v>1038</v>
      </c>
      <c r="W102" s="249" t="s">
        <v>1038</v>
      </c>
      <c r="X102" s="249" t="s">
        <v>1038</v>
      </c>
      <c r="Y102" s="250" t="s">
        <v>1089</v>
      </c>
      <c r="Z102" s="248">
        <f t="shared" si="19"/>
        <v>101.02099999999999</v>
      </c>
      <c r="AA102" s="251">
        <f t="shared" si="20"/>
        <v>-1.3390099166245579</v>
      </c>
      <c r="AB102" s="251">
        <f t="shared" si="21"/>
        <v>-3.2041491903296498E-2</v>
      </c>
      <c r="AC102" s="251">
        <f t="shared" si="22"/>
        <v>99.649948591472139</v>
      </c>
      <c r="AD102" s="252">
        <v>0.84590540888833143</v>
      </c>
      <c r="AE102" s="252">
        <v>2.0242990446679203E-2</v>
      </c>
      <c r="AF102" s="252">
        <v>0.13385160066498936</v>
      </c>
      <c r="AG102" s="253">
        <v>0.23837654079757534</v>
      </c>
      <c r="AH102" s="253">
        <f t="shared" si="23"/>
        <v>6.3197257611099236</v>
      </c>
      <c r="AI102" s="248">
        <f t="shared" si="13"/>
        <v>41.78757141226135</v>
      </c>
      <c r="AJ102" s="252">
        <f t="shared" si="13"/>
        <v>0.15123457878807439</v>
      </c>
    </row>
    <row r="103" spans="1:36" s="247" customFormat="1" ht="14" customHeight="1">
      <c r="A103" s="247" t="s">
        <v>490</v>
      </c>
      <c r="B103" s="247" t="s">
        <v>94</v>
      </c>
      <c r="C103" s="247" t="s">
        <v>89</v>
      </c>
      <c r="D103" s="247" t="s">
        <v>1110</v>
      </c>
      <c r="E103" s="247" t="s">
        <v>1120</v>
      </c>
      <c r="F103" s="247" t="s">
        <v>1036</v>
      </c>
      <c r="G103" s="247" t="s">
        <v>1119</v>
      </c>
      <c r="H103" s="248">
        <v>41.581000000000003</v>
      </c>
      <c r="I103" s="249">
        <v>0.13</v>
      </c>
      <c r="J103" s="248">
        <v>55.101999999999997</v>
      </c>
      <c r="K103" s="249" t="s">
        <v>1038</v>
      </c>
      <c r="L103" s="249">
        <v>0.13</v>
      </c>
      <c r="M103" s="249">
        <v>8.0000000000000002E-3</v>
      </c>
      <c r="N103" s="249" t="s">
        <v>1038</v>
      </c>
      <c r="O103" s="249">
        <v>3.3559999999999999</v>
      </c>
      <c r="P103" s="249">
        <v>0.11799999999999999</v>
      </c>
      <c r="Q103" s="249">
        <v>0.11799999999999999</v>
      </c>
      <c r="R103" s="249" t="s">
        <v>1038</v>
      </c>
      <c r="S103" s="249">
        <v>0.01</v>
      </c>
      <c r="T103" s="249"/>
      <c r="U103" s="249"/>
      <c r="V103" s="249" t="s">
        <v>1038</v>
      </c>
      <c r="W103" s="249" t="s">
        <v>1038</v>
      </c>
      <c r="X103" s="249" t="s">
        <v>1038</v>
      </c>
      <c r="Y103" s="250" t="s">
        <v>1089</v>
      </c>
      <c r="Z103" s="248">
        <f t="shared" si="19"/>
        <v>100.55299999999998</v>
      </c>
      <c r="AA103" s="251">
        <f t="shared" si="20"/>
        <v>-1.4131186415698165</v>
      </c>
      <c r="AB103" s="251">
        <f t="shared" si="21"/>
        <v>-2.6626028483021036E-2</v>
      </c>
      <c r="AC103" s="251">
        <f t="shared" si="22"/>
        <v>99.113255329947151</v>
      </c>
      <c r="AD103" s="252">
        <v>0.89995012663905305</v>
      </c>
      <c r="AE103" s="252">
        <v>1.695782469639347E-2</v>
      </c>
      <c r="AF103" s="252">
        <v>8.3092048664553483E-2</v>
      </c>
      <c r="AG103" s="253">
        <v>0.14679038266527114</v>
      </c>
      <c r="AH103" s="253">
        <f t="shared" si="23"/>
        <v>10.830761078863203</v>
      </c>
      <c r="AI103" s="248">
        <f t="shared" si="13"/>
        <v>53.069903879266498</v>
      </c>
      <c r="AJ103" s="252">
        <f t="shared" si="13"/>
        <v>0.2040848067767953</v>
      </c>
    </row>
    <row r="104" spans="1:36" s="247" customFormat="1" ht="14" customHeight="1">
      <c r="A104" s="247" t="s">
        <v>491</v>
      </c>
      <c r="B104" s="247" t="s">
        <v>94</v>
      </c>
      <c r="C104" s="247" t="s">
        <v>89</v>
      </c>
      <c r="D104" s="247" t="s">
        <v>1110</v>
      </c>
      <c r="E104" s="247" t="s">
        <v>1120</v>
      </c>
      <c r="F104" s="247" t="s">
        <v>1036</v>
      </c>
      <c r="G104" s="247" t="s">
        <v>1119</v>
      </c>
      <c r="H104" s="248">
        <v>41.93</v>
      </c>
      <c r="I104" s="249">
        <v>8.6999999999999994E-2</v>
      </c>
      <c r="J104" s="248">
        <v>55.258000000000003</v>
      </c>
      <c r="K104" s="249" t="s">
        <v>1038</v>
      </c>
      <c r="L104" s="249">
        <v>6.5000000000000002E-2</v>
      </c>
      <c r="M104" s="249">
        <v>3.4000000000000002E-2</v>
      </c>
      <c r="N104" s="249" t="s">
        <v>1038</v>
      </c>
      <c r="O104" s="249">
        <v>3.2589999999999999</v>
      </c>
      <c r="P104" s="249">
        <v>0.318</v>
      </c>
      <c r="Q104" s="249">
        <v>0.318</v>
      </c>
      <c r="R104" s="249" t="s">
        <v>1038</v>
      </c>
      <c r="S104" s="249">
        <v>0</v>
      </c>
      <c r="T104" s="249"/>
      <c r="U104" s="249"/>
      <c r="V104" s="249" t="s">
        <v>1038</v>
      </c>
      <c r="W104" s="249" t="s">
        <v>1038</v>
      </c>
      <c r="X104" s="249" t="s">
        <v>1038</v>
      </c>
      <c r="Y104" s="250" t="s">
        <v>1089</v>
      </c>
      <c r="Z104" s="248">
        <f t="shared" si="19"/>
        <v>101.26900000000001</v>
      </c>
      <c r="AA104" s="251">
        <f t="shared" si="20"/>
        <v>-1.3722746283897591</v>
      </c>
      <c r="AB104" s="251">
        <f t="shared" si="21"/>
        <v>-7.1754890318649914E-2</v>
      </c>
      <c r="AC104" s="251">
        <f t="shared" si="22"/>
        <v>99.824970481291601</v>
      </c>
      <c r="AD104" s="252">
        <v>0.86927634238361273</v>
      </c>
      <c r="AE104" s="252">
        <v>4.5456109616187367E-2</v>
      </c>
      <c r="AF104" s="252">
        <v>8.5267548000199894E-2</v>
      </c>
      <c r="AG104" s="253">
        <v>0.151441499305072</v>
      </c>
      <c r="AH104" s="253">
        <f t="shared" si="23"/>
        <v>10.194691447930165</v>
      </c>
      <c r="AI104" s="248">
        <f t="shared" si="13"/>
        <v>19.123421465748464</v>
      </c>
      <c r="AJ104" s="252">
        <f t="shared" si="13"/>
        <v>0.53309976283217153</v>
      </c>
    </row>
    <row r="105" spans="1:36" s="247" customFormat="1" ht="14" customHeight="1">
      <c r="A105" s="247" t="s">
        <v>492</v>
      </c>
      <c r="B105" s="247" t="s">
        <v>94</v>
      </c>
      <c r="C105" s="247" t="s">
        <v>89</v>
      </c>
      <c r="D105" s="247" t="s">
        <v>1110</v>
      </c>
      <c r="E105" s="247" t="s">
        <v>1120</v>
      </c>
      <c r="F105" s="247" t="s">
        <v>1036</v>
      </c>
      <c r="G105" s="247" t="s">
        <v>1119</v>
      </c>
      <c r="H105" s="248">
        <v>41.476999999999997</v>
      </c>
      <c r="I105" s="249">
        <v>0.15</v>
      </c>
      <c r="J105" s="248">
        <v>55.109000000000002</v>
      </c>
      <c r="K105" s="249" t="s">
        <v>1038</v>
      </c>
      <c r="L105" s="249">
        <v>9.7000000000000003E-2</v>
      </c>
      <c r="M105" s="249" t="s">
        <v>1038</v>
      </c>
      <c r="N105" s="249" t="s">
        <v>1038</v>
      </c>
      <c r="O105" s="249">
        <v>3.28</v>
      </c>
      <c r="P105" s="249">
        <v>0.21</v>
      </c>
      <c r="Q105" s="249">
        <v>0.21</v>
      </c>
      <c r="R105" s="249" t="s">
        <v>1038</v>
      </c>
      <c r="S105" s="249">
        <v>1.0999999999999999E-2</v>
      </c>
      <c r="T105" s="249"/>
      <c r="U105" s="249"/>
      <c r="V105" s="249" t="s">
        <v>1038</v>
      </c>
      <c r="W105" s="249" t="s">
        <v>1038</v>
      </c>
      <c r="X105" s="249" t="s">
        <v>1038</v>
      </c>
      <c r="Y105" s="250" t="s">
        <v>1089</v>
      </c>
      <c r="Z105" s="248">
        <f t="shared" si="19"/>
        <v>100.54399999999997</v>
      </c>
      <c r="AA105" s="251">
        <f t="shared" si="20"/>
        <v>-1.3811171467070911</v>
      </c>
      <c r="AB105" s="251">
        <f t="shared" si="21"/>
        <v>-4.7385304927410318E-2</v>
      </c>
      <c r="AC105" s="251">
        <f t="shared" si="22"/>
        <v>99.115497548365468</v>
      </c>
      <c r="AD105" s="252">
        <v>0.88081243134374054</v>
      </c>
      <c r="AE105" s="252">
        <v>3.0221814130520143E-2</v>
      </c>
      <c r="AF105" s="252">
        <v>8.8965754525739321E-2</v>
      </c>
      <c r="AG105" s="253">
        <v>0.15694515048137006</v>
      </c>
      <c r="AH105" s="253">
        <f t="shared" si="23"/>
        <v>9.9005784421117493</v>
      </c>
      <c r="AI105" s="248">
        <f t="shared" si="13"/>
        <v>29.144922523172866</v>
      </c>
      <c r="AJ105" s="252">
        <f t="shared" si="13"/>
        <v>0.33970165589700535</v>
      </c>
    </row>
    <row r="106" spans="1:36" s="247" customFormat="1" ht="14" customHeight="1">
      <c r="A106" s="247" t="s">
        <v>493</v>
      </c>
      <c r="B106" s="247" t="s">
        <v>94</v>
      </c>
      <c r="C106" s="247" t="s">
        <v>89</v>
      </c>
      <c r="D106" s="247" t="s">
        <v>1117</v>
      </c>
      <c r="E106" s="247" t="s">
        <v>1121</v>
      </c>
      <c r="F106" s="247" t="s">
        <v>1036</v>
      </c>
      <c r="G106" s="247" t="s">
        <v>1119</v>
      </c>
      <c r="H106" s="248">
        <v>42.398000000000003</v>
      </c>
      <c r="I106" s="249">
        <v>8.8999999999999996E-2</v>
      </c>
      <c r="J106" s="248">
        <v>54.847999999999999</v>
      </c>
      <c r="K106" s="249" t="s">
        <v>1038</v>
      </c>
      <c r="L106" s="249">
        <v>0.113</v>
      </c>
      <c r="M106" s="249">
        <v>4.3999999999999997E-2</v>
      </c>
      <c r="N106" s="249" t="s">
        <v>1038</v>
      </c>
      <c r="O106" s="249">
        <v>3.173</v>
      </c>
      <c r="P106" s="249">
        <v>0.17299999999999999</v>
      </c>
      <c r="Q106" s="249">
        <v>0.17299999999999999</v>
      </c>
      <c r="R106" s="249" t="s">
        <v>1038</v>
      </c>
      <c r="S106" s="249">
        <v>0.02</v>
      </c>
      <c r="T106" s="249"/>
      <c r="U106" s="249"/>
      <c r="V106" s="249" t="s">
        <v>1038</v>
      </c>
      <c r="W106" s="249" t="s">
        <v>1038</v>
      </c>
      <c r="X106" s="249" t="s">
        <v>1038</v>
      </c>
      <c r="Y106" s="250" t="s">
        <v>1089</v>
      </c>
      <c r="Z106" s="248">
        <f t="shared" si="19"/>
        <v>101.03100000000001</v>
      </c>
      <c r="AA106" s="251">
        <f t="shared" si="20"/>
        <v>-1.3360624105187806</v>
      </c>
      <c r="AB106" s="251">
        <f t="shared" si="21"/>
        <v>-3.9036465487818972E-2</v>
      </c>
      <c r="AC106" s="251">
        <f t="shared" si="22"/>
        <v>99.655901123993402</v>
      </c>
      <c r="AD106" s="252">
        <v>0.84289636640016719</v>
      </c>
      <c r="AE106" s="252">
        <v>2.4628720860242915E-2</v>
      </c>
      <c r="AF106" s="252">
        <v>0.13247491273958989</v>
      </c>
      <c r="AG106" s="253">
        <v>0.23624583390975126</v>
      </c>
      <c r="AH106" s="253">
        <f t="shared" si="23"/>
        <v>6.3626867077623608</v>
      </c>
      <c r="AI106" s="248">
        <f t="shared" si="13"/>
        <v>34.224122770452873</v>
      </c>
      <c r="AJ106" s="252">
        <f t="shared" si="13"/>
        <v>0.18591233880377311</v>
      </c>
    </row>
    <row r="107" spans="1:36" s="247" customFormat="1" ht="14" customHeight="1">
      <c r="A107" s="247" t="s">
        <v>494</v>
      </c>
      <c r="B107" s="247" t="s">
        <v>94</v>
      </c>
      <c r="C107" s="247" t="s">
        <v>89</v>
      </c>
      <c r="D107" s="247" t="s">
        <v>1117</v>
      </c>
      <c r="E107" s="247" t="s">
        <v>1121</v>
      </c>
      <c r="F107" s="247" t="s">
        <v>1036</v>
      </c>
      <c r="G107" s="247" t="s">
        <v>1119</v>
      </c>
      <c r="H107" s="248">
        <v>41.048999999999999</v>
      </c>
      <c r="I107" s="249">
        <v>0.107</v>
      </c>
      <c r="J107" s="248">
        <v>54.890999999999998</v>
      </c>
      <c r="K107" s="249" t="s">
        <v>1038</v>
      </c>
      <c r="L107" s="249">
        <v>4.7E-2</v>
      </c>
      <c r="M107" s="249">
        <v>2.5000000000000001E-2</v>
      </c>
      <c r="N107" s="249" t="s">
        <v>1038</v>
      </c>
      <c r="O107" s="249">
        <v>3.2210000000000001</v>
      </c>
      <c r="P107" s="249">
        <v>6.8000000000000005E-2</v>
      </c>
      <c r="Q107" s="249">
        <v>6.8000000000000005E-2</v>
      </c>
      <c r="R107" s="249" t="s">
        <v>1038</v>
      </c>
      <c r="S107" s="249">
        <v>0.01</v>
      </c>
      <c r="T107" s="249"/>
      <c r="U107" s="249"/>
      <c r="V107" s="249" t="s">
        <v>1038</v>
      </c>
      <c r="W107" s="249" t="s">
        <v>1038</v>
      </c>
      <c r="X107" s="249" t="s">
        <v>1038</v>
      </c>
      <c r="Y107" s="250" t="s">
        <v>1089</v>
      </c>
      <c r="Z107" s="248">
        <f t="shared" si="19"/>
        <v>99.486000000000004</v>
      </c>
      <c r="AA107" s="251">
        <f t="shared" si="20"/>
        <v>-1.3562738809583965</v>
      </c>
      <c r="AB107" s="251">
        <f t="shared" si="21"/>
        <v>-1.534381302411382E-2</v>
      </c>
      <c r="AC107" s="251">
        <f t="shared" si="22"/>
        <v>98.11438230601749</v>
      </c>
      <c r="AD107" s="252">
        <v>0.87233422784705694</v>
      </c>
      <c r="AE107" s="252">
        <v>9.8694453134679071E-3</v>
      </c>
      <c r="AF107" s="252">
        <v>0.11779632683947515</v>
      </c>
      <c r="AG107" s="253">
        <v>0.20605074353878064</v>
      </c>
      <c r="AH107" s="253">
        <f t="shared" si="23"/>
        <v>7.4054450699113472</v>
      </c>
      <c r="AI107" s="248">
        <f t="shared" si="13"/>
        <v>88.387361208300547</v>
      </c>
      <c r="AJ107" s="252">
        <f t="shared" si="13"/>
        <v>8.3783981880159286E-2</v>
      </c>
    </row>
    <row r="108" spans="1:36" s="247" customFormat="1" ht="14" customHeight="1">
      <c r="A108" s="247" t="s">
        <v>495</v>
      </c>
      <c r="B108" s="247" t="s">
        <v>94</v>
      </c>
      <c r="C108" s="247" t="s">
        <v>89</v>
      </c>
      <c r="D108" s="247" t="s">
        <v>1122</v>
      </c>
      <c r="E108" s="247" t="s">
        <v>1121</v>
      </c>
      <c r="F108" s="247" t="s">
        <v>1036</v>
      </c>
      <c r="G108" s="247" t="s">
        <v>1119</v>
      </c>
      <c r="H108" s="248">
        <v>41.738999999999997</v>
      </c>
      <c r="I108" s="249">
        <v>0.105</v>
      </c>
      <c r="J108" s="248">
        <v>54.707999999999998</v>
      </c>
      <c r="K108" s="249" t="s">
        <v>1038</v>
      </c>
      <c r="L108" s="249">
        <v>1.6E-2</v>
      </c>
      <c r="M108" s="249">
        <v>3.4000000000000002E-2</v>
      </c>
      <c r="N108" s="249" t="s">
        <v>1038</v>
      </c>
      <c r="O108" s="249">
        <v>3.3690000000000002</v>
      </c>
      <c r="P108" s="249">
        <v>8.7999999999999995E-2</v>
      </c>
      <c r="Q108" s="249">
        <v>8.7999999999999995E-2</v>
      </c>
      <c r="R108" s="249" t="s">
        <v>1038</v>
      </c>
      <c r="S108" s="249">
        <v>7.0000000000000001E-3</v>
      </c>
      <c r="T108" s="249"/>
      <c r="U108" s="249"/>
      <c r="V108" s="249" t="s">
        <v>1038</v>
      </c>
      <c r="W108" s="249" t="s">
        <v>1038</v>
      </c>
      <c r="X108" s="249" t="s">
        <v>1038</v>
      </c>
      <c r="Y108" s="250" t="s">
        <v>1089</v>
      </c>
      <c r="Z108" s="248">
        <f t="shared" si="19"/>
        <v>100.154</v>
      </c>
      <c r="AA108" s="251">
        <f t="shared" si="20"/>
        <v>-1.4185925814805458</v>
      </c>
      <c r="AB108" s="251">
        <f t="shared" si="21"/>
        <v>-1.9856699207676708E-2</v>
      </c>
      <c r="AC108" s="251">
        <f t="shared" ref="AC108:AC116" si="24">Z108+SUM(AA108:AB108)</f>
        <v>98.715550719311778</v>
      </c>
      <c r="AD108" s="252">
        <v>0.90471191089732894</v>
      </c>
      <c r="AE108" s="252">
        <v>1.2664370661766901E-2</v>
      </c>
      <c r="AF108" s="252">
        <v>8.2623718440904159E-2</v>
      </c>
      <c r="AG108" s="253">
        <v>0.14575721626479518</v>
      </c>
      <c r="AH108" s="253">
        <f t="shared" si="23"/>
        <v>10.949784492505207</v>
      </c>
      <c r="AI108" s="248">
        <f t="shared" si="13"/>
        <v>71.437573572337769</v>
      </c>
      <c r="AJ108" s="252">
        <f t="shared" si="13"/>
        <v>0.153277665308963</v>
      </c>
    </row>
    <row r="109" spans="1:36" s="247" customFormat="1" ht="14" customHeight="1">
      <c r="A109" s="247" t="s">
        <v>496</v>
      </c>
      <c r="B109" s="247" t="s">
        <v>94</v>
      </c>
      <c r="C109" s="247" t="s">
        <v>89</v>
      </c>
      <c r="D109" s="247" t="s">
        <v>1122</v>
      </c>
      <c r="E109" s="247" t="s">
        <v>1121</v>
      </c>
      <c r="F109" s="247" t="s">
        <v>1036</v>
      </c>
      <c r="G109" s="247" t="s">
        <v>1119</v>
      </c>
      <c r="H109" s="248">
        <v>41.457999999999998</v>
      </c>
      <c r="I109" s="249">
        <v>0.12</v>
      </c>
      <c r="J109" s="248">
        <v>54.558999999999997</v>
      </c>
      <c r="K109" s="249" t="s">
        <v>1038</v>
      </c>
      <c r="L109" s="249">
        <v>1.4E-2</v>
      </c>
      <c r="M109" s="249" t="s">
        <v>1038</v>
      </c>
      <c r="N109" s="249" t="s">
        <v>1038</v>
      </c>
      <c r="O109" s="249">
        <v>3.2069999999999999</v>
      </c>
      <c r="P109" s="249">
        <v>0.10100000000000001</v>
      </c>
      <c r="Q109" s="249">
        <v>0.10100000000000001</v>
      </c>
      <c r="R109" s="249">
        <v>3.7999999999999999E-2</v>
      </c>
      <c r="S109" s="249">
        <v>3.7999999999999999E-2</v>
      </c>
      <c r="T109" s="249">
        <f>0.4*R109</f>
        <v>1.52E-2</v>
      </c>
      <c r="U109" s="249"/>
      <c r="V109" s="249" t="s">
        <v>1038</v>
      </c>
      <c r="W109" s="249" t="s">
        <v>1038</v>
      </c>
      <c r="X109" s="249" t="s">
        <v>1038</v>
      </c>
      <c r="Y109" s="250" t="s">
        <v>1089</v>
      </c>
      <c r="Z109" s="248">
        <f t="shared" si="19"/>
        <v>99.651199999999974</v>
      </c>
      <c r="AA109" s="251">
        <f t="shared" si="20"/>
        <v>-1.3503788687468419</v>
      </c>
      <c r="AB109" s="251">
        <f t="shared" si="21"/>
        <v>-2.2790075226992584E-2</v>
      </c>
      <c r="AC109" s="251">
        <f t="shared" si="24"/>
        <v>98.278031056026137</v>
      </c>
      <c r="AD109" s="252">
        <v>0.86516629920147592</v>
      </c>
      <c r="AE109" s="252">
        <v>1.4602043964786071E-2</v>
      </c>
      <c r="AF109" s="252">
        <v>0.12023165683373802</v>
      </c>
      <c r="AG109" s="253">
        <v>0.21113139823896321</v>
      </c>
      <c r="AH109" s="253">
        <f t="shared" si="23"/>
        <v>7.1958278043017287</v>
      </c>
      <c r="AI109" s="248">
        <f t="shared" si="13"/>
        <v>59.249670887712</v>
      </c>
      <c r="AJ109" s="252">
        <f t="shared" si="13"/>
        <v>0.12144924514330251</v>
      </c>
    </row>
    <row r="110" spans="1:36" s="247" customFormat="1" ht="14" customHeight="1">
      <c r="A110" s="247" t="s">
        <v>497</v>
      </c>
      <c r="B110" s="247" t="s">
        <v>94</v>
      </c>
      <c r="C110" s="247" t="s">
        <v>89</v>
      </c>
      <c r="D110" s="247" t="s">
        <v>1122</v>
      </c>
      <c r="E110" s="247" t="s">
        <v>1121</v>
      </c>
      <c r="F110" s="247" t="s">
        <v>1036</v>
      </c>
      <c r="G110" s="247" t="s">
        <v>1119</v>
      </c>
      <c r="H110" s="248">
        <v>42.08</v>
      </c>
      <c r="I110" s="249">
        <v>0.185</v>
      </c>
      <c r="J110" s="248">
        <v>54.912999999999997</v>
      </c>
      <c r="K110" s="249" t="s">
        <v>1038</v>
      </c>
      <c r="L110" s="249">
        <v>0.126</v>
      </c>
      <c r="M110" s="249">
        <v>2.5999999999999999E-2</v>
      </c>
      <c r="N110" s="249" t="s">
        <v>1038</v>
      </c>
      <c r="O110" s="249">
        <v>3.1469999999999998</v>
      </c>
      <c r="P110" s="249">
        <v>0.113</v>
      </c>
      <c r="Q110" s="249">
        <v>0.113</v>
      </c>
      <c r="R110" s="249">
        <v>3.9E-2</v>
      </c>
      <c r="S110" s="249">
        <v>3.9E-2</v>
      </c>
      <c r="T110" s="249">
        <f t="shared" ref="T110:T134" si="25">0.4*R110</f>
        <v>1.5600000000000001E-2</v>
      </c>
      <c r="U110" s="249"/>
      <c r="V110" s="249" t="s">
        <v>1038</v>
      </c>
      <c r="W110" s="249" t="s">
        <v>1038</v>
      </c>
      <c r="X110" s="249" t="s">
        <v>1038</v>
      </c>
      <c r="Y110" s="250" t="s">
        <v>1089</v>
      </c>
      <c r="Z110" s="248">
        <f t="shared" si="19"/>
        <v>100.79660000000001</v>
      </c>
      <c r="AA110" s="251">
        <f t="shared" si="20"/>
        <v>-1.3251145306973218</v>
      </c>
      <c r="AB110" s="251">
        <f t="shared" si="21"/>
        <v>-2.5497806937130316E-2</v>
      </c>
      <c r="AC110" s="251">
        <f t="shared" si="24"/>
        <v>99.445987662365553</v>
      </c>
      <c r="AD110" s="252">
        <v>0.83784849122704663</v>
      </c>
      <c r="AE110" s="252">
        <v>1.6122739474319258E-2</v>
      </c>
      <c r="AF110" s="252">
        <v>0.14602876929863412</v>
      </c>
      <c r="AG110" s="253">
        <v>0.2598389796541784</v>
      </c>
      <c r="AH110" s="253">
        <f t="shared" si="23"/>
        <v>5.7375577103825082</v>
      </c>
      <c r="AI110" s="248">
        <f t="shared" si="13"/>
        <v>51.966881469591115</v>
      </c>
      <c r="AJ110" s="252">
        <f t="shared" si="13"/>
        <v>0.11040796653807081</v>
      </c>
    </row>
    <row r="111" spans="1:36" ht="14" customHeight="1">
      <c r="B111" s="247"/>
      <c r="H111" s="216"/>
      <c r="I111" s="217"/>
      <c r="J111" s="216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>
        <f t="shared" si="25"/>
        <v>0</v>
      </c>
      <c r="U111" s="217"/>
      <c r="V111" s="224"/>
      <c r="W111" s="217"/>
      <c r="X111" s="217"/>
      <c r="Y111" s="218"/>
      <c r="Z111" s="216"/>
      <c r="AA111" s="219"/>
      <c r="AB111" s="219"/>
      <c r="AC111" s="219"/>
      <c r="AD111" s="95"/>
      <c r="AE111" s="95"/>
      <c r="AF111" s="95"/>
      <c r="AG111" s="96"/>
      <c r="AH111" s="96"/>
      <c r="AI111" s="216"/>
      <c r="AJ111" s="95"/>
    </row>
    <row r="112" spans="1:36" ht="14" customHeight="1">
      <c r="A112" s="3" t="s">
        <v>485</v>
      </c>
      <c r="B112" s="3" t="s">
        <v>94</v>
      </c>
      <c r="C112" s="3" t="s">
        <v>89</v>
      </c>
      <c r="D112" s="3" t="s">
        <v>1110</v>
      </c>
      <c r="E112" s="3" t="s">
        <v>1118</v>
      </c>
      <c r="F112" s="3" t="s">
        <v>1036</v>
      </c>
      <c r="G112" s="3" t="s">
        <v>1119</v>
      </c>
      <c r="H112" s="216">
        <v>41.948</v>
      </c>
      <c r="I112" s="217">
        <v>0.20499999999999999</v>
      </c>
      <c r="J112" s="216">
        <v>54.567</v>
      </c>
      <c r="K112" s="217" t="s">
        <v>1038</v>
      </c>
      <c r="L112" s="217">
        <v>0.33200000000000002</v>
      </c>
      <c r="M112" s="217">
        <v>0.04</v>
      </c>
      <c r="N112" s="217" t="s">
        <v>1038</v>
      </c>
      <c r="O112" s="217">
        <v>3.5169999999999999</v>
      </c>
      <c r="P112" s="217">
        <v>0.26800000000000002</v>
      </c>
      <c r="Q112" s="217">
        <v>0.26800000000000002</v>
      </c>
      <c r="R112" s="217" t="s">
        <v>1038</v>
      </c>
      <c r="S112" s="217">
        <v>1.4E-2</v>
      </c>
      <c r="T112" s="217"/>
      <c r="U112" s="217"/>
      <c r="V112" s="217" t="s">
        <v>1038</v>
      </c>
      <c r="W112" s="217" t="s">
        <v>1038</v>
      </c>
      <c r="X112" s="217" t="s">
        <v>1038</v>
      </c>
      <c r="Y112" s="218" t="s">
        <v>1089</v>
      </c>
      <c r="Z112" s="216">
        <f>SUM(H112:Y112)</f>
        <v>101.15899999999999</v>
      </c>
      <c r="AA112" s="219">
        <f>-(O112*15.9994/(2*18.9984))</f>
        <v>-1.4809112820026948</v>
      </c>
      <c r="AB112" s="219">
        <f>-(P112*15.9994/(2*35.4527))</f>
        <v>-6.0472674859742705E-2</v>
      </c>
      <c r="AC112" s="219">
        <f t="shared" si="24"/>
        <v>99.617616043137559</v>
      </c>
      <c r="AD112" s="95">
        <v>0.93959643494998546</v>
      </c>
      <c r="AE112" s="95">
        <v>3.8370320767805569E-2</v>
      </c>
      <c r="AF112" s="95">
        <v>2.2033244282208972E-2</v>
      </c>
      <c r="AG112" s="96">
        <v>3.9070060489992078E-2</v>
      </c>
      <c r="AH112" s="96">
        <f t="shared" si="23"/>
        <v>42.644488615263739</v>
      </c>
      <c r="AI112" s="216">
        <f t="shared" si="13"/>
        <v>24.48758353196644</v>
      </c>
      <c r="AJ112" s="95">
        <f t="shared" si="13"/>
        <v>1.7414739416649676</v>
      </c>
    </row>
    <row r="113" spans="1:36" ht="14" customHeight="1">
      <c r="A113" s="3" t="s">
        <v>486</v>
      </c>
      <c r="B113" s="3" t="s">
        <v>94</v>
      </c>
      <c r="C113" s="3" t="s">
        <v>89</v>
      </c>
      <c r="D113" s="3" t="s">
        <v>1110</v>
      </c>
      <c r="E113" s="3" t="s">
        <v>1118</v>
      </c>
      <c r="F113" s="3" t="s">
        <v>1036</v>
      </c>
      <c r="G113" s="3" t="s">
        <v>1119</v>
      </c>
      <c r="H113" s="216">
        <v>41.831000000000003</v>
      </c>
      <c r="I113" s="217">
        <v>0.14199999999999999</v>
      </c>
      <c r="J113" s="216">
        <v>54.744999999999997</v>
      </c>
      <c r="K113" s="217" t="s">
        <v>1038</v>
      </c>
      <c r="L113" s="217">
        <v>0.20699999999999999</v>
      </c>
      <c r="M113" s="217">
        <v>4.7E-2</v>
      </c>
      <c r="N113" s="217" t="s">
        <v>1038</v>
      </c>
      <c r="O113" s="217">
        <v>3.2440000000000002</v>
      </c>
      <c r="P113" s="217">
        <v>0.27600000000000002</v>
      </c>
      <c r="Q113" s="217">
        <v>0.27600000000000002</v>
      </c>
      <c r="R113" s="217" t="s">
        <v>1038</v>
      </c>
      <c r="S113" s="217">
        <v>6.0000000000000001E-3</v>
      </c>
      <c r="T113" s="217"/>
      <c r="U113" s="217"/>
      <c r="V113" s="217" t="s">
        <v>1038</v>
      </c>
      <c r="W113" s="217" t="s">
        <v>1038</v>
      </c>
      <c r="X113" s="217" t="s">
        <v>1038</v>
      </c>
      <c r="Y113" s="218" t="s">
        <v>1089</v>
      </c>
      <c r="Z113" s="216">
        <f>SUM(H113:Y113)</f>
        <v>100.77399999999999</v>
      </c>
      <c r="AA113" s="219">
        <f>-(O113*15.9994/(2*18.9984))</f>
        <v>-1.3659585438773791</v>
      </c>
      <c r="AB113" s="219">
        <f>-(P113*15.9994/(2*35.4527))</f>
        <v>-6.2277829333167861E-2</v>
      </c>
      <c r="AC113" s="219">
        <f t="shared" si="24"/>
        <v>99.345763626789434</v>
      </c>
      <c r="AD113" s="95">
        <v>0.86830909517065458</v>
      </c>
      <c r="AE113" s="95">
        <v>3.959079570968279E-2</v>
      </c>
      <c r="AF113" s="95">
        <v>9.2100109119662626E-2</v>
      </c>
      <c r="AG113" s="96">
        <v>0.16300512767827591</v>
      </c>
      <c r="AH113" s="96">
        <f t="shared" si="23"/>
        <v>9.427883457146498</v>
      </c>
      <c r="AI113" s="216">
        <f t="shared" si="13"/>
        <v>21.932095064163885</v>
      </c>
      <c r="AJ113" s="95">
        <f t="shared" si="13"/>
        <v>0.42986697940003282</v>
      </c>
    </row>
    <row r="114" spans="1:36" ht="14" customHeight="1">
      <c r="A114" s="3" t="s">
        <v>487</v>
      </c>
      <c r="B114" s="3" t="s">
        <v>94</v>
      </c>
      <c r="C114" s="3" t="s">
        <v>89</v>
      </c>
      <c r="D114" s="3" t="s">
        <v>1110</v>
      </c>
      <c r="E114" s="3" t="s">
        <v>1118</v>
      </c>
      <c r="F114" s="3" t="s">
        <v>1036</v>
      </c>
      <c r="G114" s="3" t="s">
        <v>1119</v>
      </c>
      <c r="H114" s="216">
        <v>40.984000000000002</v>
      </c>
      <c r="I114" s="217">
        <v>0.122</v>
      </c>
      <c r="J114" s="216">
        <v>54.749000000000002</v>
      </c>
      <c r="K114" s="217" t="s">
        <v>1038</v>
      </c>
      <c r="L114" s="217">
        <v>0.186</v>
      </c>
      <c r="M114" s="217">
        <v>5.5E-2</v>
      </c>
      <c r="N114" s="217" t="s">
        <v>1038</v>
      </c>
      <c r="O114" s="217">
        <v>3.3530000000000002</v>
      </c>
      <c r="P114" s="217">
        <v>0.29499999999999998</v>
      </c>
      <c r="Q114" s="217">
        <v>0.29499999999999998</v>
      </c>
      <c r="R114" s="217" t="s">
        <v>1038</v>
      </c>
      <c r="S114" s="217">
        <v>0.01</v>
      </c>
      <c r="T114" s="217"/>
      <c r="U114" s="217"/>
      <c r="V114" s="217" t="s">
        <v>1038</v>
      </c>
      <c r="W114" s="217" t="s">
        <v>1038</v>
      </c>
      <c r="X114" s="217" t="s">
        <v>1038</v>
      </c>
      <c r="Y114" s="218" t="s">
        <v>1089</v>
      </c>
      <c r="Z114" s="216">
        <f>SUM(H114:Y114)</f>
        <v>100.04900000000002</v>
      </c>
      <c r="AA114" s="219">
        <f>-(O114*15.9994/(2*18.9984))</f>
        <v>-1.4118554246673405</v>
      </c>
      <c r="AB114" s="219">
        <f>-(P114*15.9994/(2*35.4527))</f>
        <v>-6.656507120755259E-2</v>
      </c>
      <c r="AC114" s="219">
        <f t="shared" si="24"/>
        <v>98.570579504125135</v>
      </c>
      <c r="AD114" s="95">
        <v>0.90879558708768615</v>
      </c>
      <c r="AE114" s="95">
        <v>4.284955498438002E-2</v>
      </c>
      <c r="AF114" s="95">
        <v>4.8354857927933828E-2</v>
      </c>
      <c r="AG114" s="96">
        <v>8.4516612459676954E-2</v>
      </c>
      <c r="AH114" s="96">
        <f t="shared" si="23"/>
        <v>18.794297533499513</v>
      </c>
      <c r="AI114" s="216">
        <f t="shared" si="13"/>
        <v>21.208985423978618</v>
      </c>
      <c r="AJ114" s="95">
        <f t="shared" si="13"/>
        <v>0.88614788297468072</v>
      </c>
    </row>
    <row r="115" spans="1:36" ht="14" customHeight="1">
      <c r="A115" s="3" t="s">
        <v>488</v>
      </c>
      <c r="B115" s="3" t="s">
        <v>94</v>
      </c>
      <c r="C115" s="3" t="s">
        <v>89</v>
      </c>
      <c r="D115" s="3" t="s">
        <v>1110</v>
      </c>
      <c r="E115" s="3" t="s">
        <v>1118</v>
      </c>
      <c r="F115" s="3" t="s">
        <v>1036</v>
      </c>
      <c r="G115" s="3" t="s">
        <v>1119</v>
      </c>
      <c r="H115" s="216">
        <v>41.851999999999997</v>
      </c>
      <c r="I115" s="217">
        <v>0.16200000000000001</v>
      </c>
      <c r="J115" s="216">
        <v>55.183</v>
      </c>
      <c r="K115" s="217" t="s">
        <v>1038</v>
      </c>
      <c r="L115" s="217">
        <v>0.20200000000000001</v>
      </c>
      <c r="M115" s="217">
        <v>5.7000000000000002E-2</v>
      </c>
      <c r="N115" s="217" t="s">
        <v>1038</v>
      </c>
      <c r="O115" s="217">
        <v>2.7309999999999999</v>
      </c>
      <c r="P115" s="217">
        <v>0.26</v>
      </c>
      <c r="Q115" s="217">
        <v>0.26</v>
      </c>
      <c r="R115" s="217" t="s">
        <v>1038</v>
      </c>
      <c r="S115" s="217">
        <v>1.7999999999999999E-2</v>
      </c>
      <c r="T115" s="217"/>
      <c r="U115" s="217"/>
      <c r="V115" s="217" t="s">
        <v>1038</v>
      </c>
      <c r="W115" s="217" t="s">
        <v>1038</v>
      </c>
      <c r="X115" s="217" t="s">
        <v>1038</v>
      </c>
      <c r="Y115" s="218" t="s">
        <v>1089</v>
      </c>
      <c r="Z115" s="216">
        <f>SUM(H115:Y115)</f>
        <v>100.72500000000001</v>
      </c>
      <c r="AA115" s="219">
        <f>-(O115*15.9994/(2*18.9984))</f>
        <v>-1.1499484535539835</v>
      </c>
      <c r="AB115" s="219">
        <f>-(P115*15.9994/(2*35.4527))</f>
        <v>-5.8667520386317541E-2</v>
      </c>
      <c r="AC115" s="219">
        <f t="shared" si="24"/>
        <v>99.516384026059711</v>
      </c>
      <c r="AD115" s="95">
        <v>0.72823884545127271</v>
      </c>
      <c r="AE115" s="95">
        <v>3.7154988638823765E-2</v>
      </c>
      <c r="AF115" s="95">
        <v>0.23460616590990352</v>
      </c>
      <c r="AG115" s="96">
        <v>0.41679443060048804</v>
      </c>
      <c r="AH115" s="96">
        <f t="shared" si="23"/>
        <v>3.1040908180177174</v>
      </c>
      <c r="AI115" s="216">
        <f t="shared" si="13"/>
        <v>19.600028747965375</v>
      </c>
      <c r="AJ115" s="95">
        <f t="shared" si="13"/>
        <v>0.15837174822205013</v>
      </c>
    </row>
    <row r="116" spans="1:36" ht="14" customHeight="1">
      <c r="A116" s="3" t="s">
        <v>489</v>
      </c>
      <c r="B116" s="3" t="s">
        <v>94</v>
      </c>
      <c r="C116" s="3" t="s">
        <v>89</v>
      </c>
      <c r="D116" s="3" t="s">
        <v>1110</v>
      </c>
      <c r="E116" s="3" t="s">
        <v>1118</v>
      </c>
      <c r="F116" s="3" t="s">
        <v>1036</v>
      </c>
      <c r="G116" s="3" t="s">
        <v>1119</v>
      </c>
      <c r="H116" s="216">
        <v>41.037999999999997</v>
      </c>
      <c r="I116" s="217">
        <v>0.14399999999999999</v>
      </c>
      <c r="J116" s="216">
        <v>55.331000000000003</v>
      </c>
      <c r="K116" s="217" t="s">
        <v>1038</v>
      </c>
      <c r="L116" s="217">
        <v>0.28899999999999998</v>
      </c>
      <c r="M116" s="217">
        <v>3.5999999999999997E-2</v>
      </c>
      <c r="N116" s="217" t="s">
        <v>1038</v>
      </c>
      <c r="O116" s="217">
        <v>3.47</v>
      </c>
      <c r="P116" s="217">
        <v>0.22900000000000001</v>
      </c>
      <c r="Q116" s="217">
        <v>0.22900000000000001</v>
      </c>
      <c r="R116" s="217">
        <v>3.4000000000000002E-2</v>
      </c>
      <c r="S116" s="217">
        <v>3.4000000000000002E-2</v>
      </c>
      <c r="T116" s="217">
        <f t="shared" si="25"/>
        <v>1.3600000000000001E-2</v>
      </c>
      <c r="U116" s="217"/>
      <c r="V116" s="217" t="s">
        <v>1038</v>
      </c>
      <c r="W116" s="217" t="s">
        <v>1038</v>
      </c>
      <c r="X116" s="217" t="s">
        <v>1038</v>
      </c>
      <c r="Y116" s="218" t="s">
        <v>1089</v>
      </c>
      <c r="Z116" s="216">
        <f>SUM(H116:Y116)</f>
        <v>100.84760000000001</v>
      </c>
      <c r="AA116" s="219">
        <f>-(O116*15.9994/(2*18.9984))</f>
        <v>-1.4611208838639043</v>
      </c>
      <c r="AB116" s="219">
        <f>-(P116*15.9994/(2*35.4527))</f>
        <v>-5.1672546801795068E-2</v>
      </c>
      <c r="AC116" s="219">
        <f t="shared" si="24"/>
        <v>99.334806569334319</v>
      </c>
      <c r="AD116" s="95">
        <v>0.93457298946228184</v>
      </c>
      <c r="AE116" s="95">
        <v>3.3052999457133803E-2</v>
      </c>
      <c r="AF116" s="95">
        <v>3.2374011080584353E-2</v>
      </c>
      <c r="AG116" s="221">
        <v>5.6943923445213249E-2</v>
      </c>
      <c r="AH116" s="96">
        <f t="shared" si="23"/>
        <v>28.868001161053929</v>
      </c>
      <c r="AI116" s="216">
        <f t="shared" si="13"/>
        <v>28.274982749275836</v>
      </c>
      <c r="AJ116" s="95">
        <f t="shared" si="13"/>
        <v>1.0209732545917567</v>
      </c>
    </row>
    <row r="117" spans="1:36" s="132" customFormat="1" ht="14" customHeight="1">
      <c r="B117" s="3"/>
      <c r="C117" s="3"/>
      <c r="H117" s="254"/>
      <c r="I117" s="255"/>
      <c r="J117" s="254"/>
      <c r="K117" s="255"/>
      <c r="L117" s="255"/>
      <c r="M117" s="255"/>
      <c r="N117" s="255"/>
      <c r="R117" s="255"/>
      <c r="S117" s="255"/>
      <c r="T117" s="217"/>
      <c r="U117" s="217"/>
      <c r="V117" s="255"/>
      <c r="W117" s="255"/>
      <c r="X117" s="255"/>
      <c r="Y117" s="256"/>
      <c r="Z117" s="254"/>
      <c r="AA117" s="257"/>
      <c r="AB117" s="257"/>
      <c r="AC117" s="257"/>
      <c r="AE117" s="133"/>
      <c r="AF117" s="133"/>
      <c r="AG117" s="134"/>
      <c r="AH117" s="96"/>
      <c r="AI117" s="216"/>
      <c r="AJ117" s="95"/>
    </row>
    <row r="118" spans="1:36" ht="14" customHeight="1">
      <c r="A118" s="3" t="s">
        <v>1123</v>
      </c>
      <c r="B118" s="3" t="s">
        <v>94</v>
      </c>
      <c r="C118" s="3" t="s">
        <v>89</v>
      </c>
      <c r="D118" s="3" t="s">
        <v>1085</v>
      </c>
      <c r="E118" s="3" t="s">
        <v>1097</v>
      </c>
      <c r="F118" s="3" t="s">
        <v>1087</v>
      </c>
      <c r="G118" s="3" t="s">
        <v>1037</v>
      </c>
      <c r="H118" s="216">
        <v>40.594000000000001</v>
      </c>
      <c r="I118" s="217">
        <v>0.18099999999999999</v>
      </c>
      <c r="J118" s="216">
        <v>52.237000000000002</v>
      </c>
      <c r="K118" s="217">
        <v>0.14499999999999999</v>
      </c>
      <c r="L118" s="217">
        <v>0.188</v>
      </c>
      <c r="M118" s="217">
        <v>0.16700000000000001</v>
      </c>
      <c r="N118" s="217" t="s">
        <v>1038</v>
      </c>
      <c r="O118" s="217">
        <v>1.36</v>
      </c>
      <c r="P118" s="217">
        <v>2.1160000000000001</v>
      </c>
      <c r="Q118" s="217"/>
      <c r="R118" s="217">
        <v>8.6999999999999994E-2</v>
      </c>
      <c r="S118" s="217"/>
      <c r="T118" s="217">
        <f t="shared" si="25"/>
        <v>3.4799999999999998E-2</v>
      </c>
      <c r="U118" s="217">
        <f>T118/(1.2*10.1/7.4)</f>
        <v>2.1247524752475246E-2</v>
      </c>
      <c r="V118" s="217" t="s">
        <v>1038</v>
      </c>
      <c r="W118" s="217">
        <v>2.9000000000000001E-2</v>
      </c>
      <c r="X118" s="217" t="s">
        <v>1038</v>
      </c>
      <c r="Y118" s="218">
        <v>0.35599999999999998</v>
      </c>
      <c r="Z118" s="216">
        <v>97.103999999999999</v>
      </c>
      <c r="AA118" s="219">
        <f>-(O118*15.9994/(2*18.9984))</f>
        <v>-0.5726583291224524</v>
      </c>
      <c r="AB118" s="219">
        <f>-(P118*15.9994/(2*35.4527))</f>
        <v>-0.47746335822095359</v>
      </c>
      <c r="AC118" s="219">
        <f t="shared" ref="AC118:AC122" si="26">Z118+SUM(AA118:AB118)</f>
        <v>96.053878312656593</v>
      </c>
      <c r="AD118" s="95">
        <v>0.37627559310021197</v>
      </c>
      <c r="AE118" s="95">
        <v>0.31374329102071935</v>
      </c>
      <c r="AF118" s="95">
        <v>0.30998111587906868</v>
      </c>
      <c r="AG118" s="96">
        <v>0.53076554528001352</v>
      </c>
      <c r="AH118" s="96">
        <f>AD118/AF118</f>
        <v>1.2138661803095334</v>
      </c>
      <c r="AI118" s="217">
        <f t="shared" si="13"/>
        <v>1.199310403980441</v>
      </c>
      <c r="AJ118" s="95">
        <f>AE118/AF118</f>
        <v>1.0121367881749235</v>
      </c>
    </row>
    <row r="119" spans="1:36" ht="14" customHeight="1">
      <c r="A119" s="3" t="s">
        <v>1124</v>
      </c>
      <c r="B119" s="3" t="s">
        <v>94</v>
      </c>
      <c r="C119" s="3" t="s">
        <v>89</v>
      </c>
      <c r="D119" s="3" t="s">
        <v>1085</v>
      </c>
      <c r="E119" s="3" t="s">
        <v>1118</v>
      </c>
      <c r="F119" s="3" t="s">
        <v>1087</v>
      </c>
      <c r="G119" s="3" t="s">
        <v>1037</v>
      </c>
      <c r="H119" s="216">
        <v>38.837000000000003</v>
      </c>
      <c r="I119" s="217">
        <v>0.47899999999999998</v>
      </c>
      <c r="J119" s="216">
        <v>51.378999999999998</v>
      </c>
      <c r="K119" s="217">
        <v>0.124</v>
      </c>
      <c r="L119" s="217">
        <v>0.26100000000000001</v>
      </c>
      <c r="M119" s="217">
        <v>0.15</v>
      </c>
      <c r="N119" s="217" t="s">
        <v>1038</v>
      </c>
      <c r="O119" s="217">
        <v>1.248</v>
      </c>
      <c r="P119" s="217">
        <v>1.97</v>
      </c>
      <c r="Q119" s="217"/>
      <c r="R119" s="217">
        <v>5.8000000000000003E-2</v>
      </c>
      <c r="S119" s="217"/>
      <c r="T119" s="217">
        <f t="shared" si="25"/>
        <v>2.3200000000000002E-2</v>
      </c>
      <c r="U119" s="217">
        <f t="shared" ref="U119:U122" si="27">T119/(1.2*10.1/7.4)</f>
        <v>1.4165016501650167E-2</v>
      </c>
      <c r="V119" s="217">
        <v>8.5999999999999993E-2</v>
      </c>
      <c r="W119" s="217">
        <v>0.161</v>
      </c>
      <c r="X119" s="217">
        <v>0.125</v>
      </c>
      <c r="Y119" s="218" t="s">
        <v>1038</v>
      </c>
      <c r="Z119" s="216">
        <v>94.879000000000019</v>
      </c>
      <c r="AA119" s="219">
        <f>-(O119*15.9994/(2*18.9984))</f>
        <v>-0.52549823143001517</v>
      </c>
      <c r="AB119" s="219">
        <f>-(P119*15.9994/(2*35.4527))</f>
        <v>-0.44451928908094446</v>
      </c>
      <c r="AC119" s="219">
        <f>Z119+SUM(AA119:AB119)</f>
        <v>93.908982479489055</v>
      </c>
      <c r="AD119" s="95">
        <v>0.35543875351512422</v>
      </c>
      <c r="AE119" s="95">
        <v>0.30068243723966237</v>
      </c>
      <c r="AF119" s="95">
        <v>0.34387880924521341</v>
      </c>
      <c r="AG119" s="96">
        <v>0.57199186008070402</v>
      </c>
      <c r="AH119" s="96">
        <f>AD119/AF119</f>
        <v>1.0336163321470258</v>
      </c>
      <c r="AI119" s="217">
        <f t="shared" si="13"/>
        <v>1.1821067993798977</v>
      </c>
      <c r="AJ119" s="95">
        <f>AE119/AF119</f>
        <v>0.87438489710847944</v>
      </c>
    </row>
    <row r="120" spans="1:36" ht="14" customHeight="1">
      <c r="A120" s="3" t="s">
        <v>1125</v>
      </c>
      <c r="B120" s="3" t="s">
        <v>94</v>
      </c>
      <c r="C120" s="3" t="s">
        <v>89</v>
      </c>
      <c r="D120" s="3" t="s">
        <v>1085</v>
      </c>
      <c r="E120" s="3" t="s">
        <v>1118</v>
      </c>
      <c r="F120" s="3" t="s">
        <v>1036</v>
      </c>
      <c r="G120" s="3" t="s">
        <v>1037</v>
      </c>
      <c r="H120" s="216">
        <v>41.05</v>
      </c>
      <c r="I120" s="217">
        <v>0.17499999999999999</v>
      </c>
      <c r="J120" s="216">
        <v>53.712000000000003</v>
      </c>
      <c r="K120" s="217">
        <v>0.16500000000000001</v>
      </c>
      <c r="L120" s="217">
        <v>0.28499999999999998</v>
      </c>
      <c r="M120" s="217">
        <v>0.14699999999999999</v>
      </c>
      <c r="N120" s="217" t="s">
        <v>1038</v>
      </c>
      <c r="O120" s="217">
        <v>1.2250000000000001</v>
      </c>
      <c r="P120" s="217">
        <v>2.0979999999999999</v>
      </c>
      <c r="Q120" s="217"/>
      <c r="R120" s="217">
        <v>0.115</v>
      </c>
      <c r="S120" s="217"/>
      <c r="T120" s="217">
        <f t="shared" si="25"/>
        <v>4.6000000000000006E-2</v>
      </c>
      <c r="U120" s="217">
        <f t="shared" si="27"/>
        <v>2.8085808580858091E-2</v>
      </c>
      <c r="V120" s="217" t="s">
        <v>1038</v>
      </c>
      <c r="W120" s="217">
        <v>4.8000000000000001E-2</v>
      </c>
      <c r="X120" s="217" t="s">
        <v>1038</v>
      </c>
      <c r="Y120" s="218" t="s">
        <v>1038</v>
      </c>
      <c r="Z120" s="216">
        <v>99.02</v>
      </c>
      <c r="AA120" s="219">
        <f>-(O120*15.9994/(2*18.9984))</f>
        <v>-0.51581356851103255</v>
      </c>
      <c r="AB120" s="219">
        <f>-(P120*15.9994/(2*35.4527))</f>
        <v>-0.47340176065574691</v>
      </c>
      <c r="AC120" s="219">
        <f t="shared" si="26"/>
        <v>98.030784670833214</v>
      </c>
      <c r="AD120" s="95">
        <v>0.33269574635814425</v>
      </c>
      <c r="AE120" s="95">
        <v>0.30535728620308283</v>
      </c>
      <c r="AF120" s="95">
        <v>0.36194696743877292</v>
      </c>
      <c r="AG120" s="96">
        <v>0.63134741812660411</v>
      </c>
      <c r="AH120" s="96">
        <f>AD120/AF120</f>
        <v>0.9191836823841415</v>
      </c>
      <c r="AI120" s="217">
        <f t="shared" si="13"/>
        <v>1.0895294181285051</v>
      </c>
      <c r="AJ120" s="95">
        <f>AE120/AF120</f>
        <v>0.84365200892237668</v>
      </c>
    </row>
    <row r="121" spans="1:36" ht="14" customHeight="1">
      <c r="A121" s="3" t="s">
        <v>1126</v>
      </c>
      <c r="B121" s="3" t="s">
        <v>94</v>
      </c>
      <c r="C121" s="3" t="s">
        <v>89</v>
      </c>
      <c r="D121" s="3" t="s">
        <v>1085</v>
      </c>
      <c r="E121" s="3" t="s">
        <v>1118</v>
      </c>
      <c r="F121" s="3" t="s">
        <v>1036</v>
      </c>
      <c r="G121" s="3" t="s">
        <v>1037</v>
      </c>
      <c r="H121" s="216">
        <v>40.901000000000003</v>
      </c>
      <c r="I121" s="217">
        <v>0.13300000000000001</v>
      </c>
      <c r="J121" s="216">
        <v>53.652999999999999</v>
      </c>
      <c r="K121" s="217">
        <v>0.113</v>
      </c>
      <c r="L121" s="217">
        <v>0.29399999999999998</v>
      </c>
      <c r="M121" s="217">
        <v>0.13800000000000001</v>
      </c>
      <c r="N121" s="217" t="s">
        <v>1038</v>
      </c>
      <c r="O121" s="217">
        <v>1.1439999999999999</v>
      </c>
      <c r="P121" s="217">
        <v>2.0990000000000002</v>
      </c>
      <c r="Q121" s="217"/>
      <c r="R121" s="217">
        <v>9.2999999999999999E-2</v>
      </c>
      <c r="S121" s="217"/>
      <c r="T121" s="217">
        <f t="shared" si="25"/>
        <v>3.7200000000000004E-2</v>
      </c>
      <c r="U121" s="217">
        <f t="shared" si="27"/>
        <v>2.2712871287128716E-2</v>
      </c>
      <c r="V121" s="217" t="s">
        <v>1038</v>
      </c>
      <c r="W121" s="217">
        <v>2.5999999999999999E-2</v>
      </c>
      <c r="X121" s="217" t="s">
        <v>1038</v>
      </c>
      <c r="Y121" s="218" t="s">
        <v>1038</v>
      </c>
      <c r="Z121" s="216">
        <v>98.594000000000023</v>
      </c>
      <c r="AA121" s="219">
        <f>-(O121*15.9994/(2*18.9984))</f>
        <v>-0.48170671214418054</v>
      </c>
      <c r="AB121" s="219">
        <f>-(P121*15.9994/(2*35.4527))</f>
        <v>-0.47362740496492511</v>
      </c>
      <c r="AC121" s="219">
        <f t="shared" si="26"/>
        <v>97.638665882890919</v>
      </c>
      <c r="AD121" s="95">
        <v>0.31189130498831541</v>
      </c>
      <c r="AE121" s="95">
        <v>0.3066770842055852</v>
      </c>
      <c r="AF121" s="95">
        <v>0.38143161080609939</v>
      </c>
      <c r="AG121" s="96">
        <v>0.66278712742585066</v>
      </c>
      <c r="AH121" s="96">
        <f>AD121/AF121</f>
        <v>0.81768604424048441</v>
      </c>
      <c r="AI121" s="217">
        <f t="shared" si="13"/>
        <v>1.0170023162840389</v>
      </c>
      <c r="AJ121" s="95">
        <f>AE121/AF121</f>
        <v>0.80401591141716988</v>
      </c>
    </row>
    <row r="122" spans="1:36" ht="14" customHeight="1">
      <c r="A122" s="3" t="s">
        <v>1127</v>
      </c>
      <c r="B122" s="3" t="s">
        <v>94</v>
      </c>
      <c r="C122" s="3" t="s">
        <v>89</v>
      </c>
      <c r="D122" s="3" t="s">
        <v>1085</v>
      </c>
      <c r="E122" s="3" t="s">
        <v>1118</v>
      </c>
      <c r="F122" s="3" t="s">
        <v>1087</v>
      </c>
      <c r="G122" s="3" t="s">
        <v>1094</v>
      </c>
      <c r="H122" s="216">
        <v>38.380000000000003</v>
      </c>
      <c r="I122" s="217">
        <v>0.80300000000000005</v>
      </c>
      <c r="J122" s="216">
        <v>52.146000000000001</v>
      </c>
      <c r="K122" s="217" t="s">
        <v>1038</v>
      </c>
      <c r="L122" s="217">
        <v>0.30199999999999999</v>
      </c>
      <c r="M122" s="217">
        <v>0.17399999999999999</v>
      </c>
      <c r="N122" s="217" t="s">
        <v>1038</v>
      </c>
      <c r="O122" s="217">
        <v>2.512</v>
      </c>
      <c r="P122" s="217">
        <v>1.012</v>
      </c>
      <c r="Q122" s="217"/>
      <c r="R122" s="217">
        <v>0.22700000000000001</v>
      </c>
      <c r="S122" s="217"/>
      <c r="T122" s="217">
        <f t="shared" si="25"/>
        <v>9.0800000000000006E-2</v>
      </c>
      <c r="U122" s="217">
        <f t="shared" si="27"/>
        <v>5.5438943894389442E-2</v>
      </c>
      <c r="V122" s="217">
        <v>9.5000000000000001E-2</v>
      </c>
      <c r="W122" s="217">
        <v>3.5000000000000003E-2</v>
      </c>
      <c r="X122" s="217" t="s">
        <v>1038</v>
      </c>
      <c r="Y122" s="218">
        <v>1.202</v>
      </c>
      <c r="Z122" s="216">
        <v>95.686000000000021</v>
      </c>
      <c r="AA122" s="222">
        <f>-(O122*15.9994/(2*18.9984))</f>
        <v>-1.0577336196732356</v>
      </c>
      <c r="AB122" s="222">
        <f>-(P122*15.9994/(2*35.4527))</f>
        <v>-0.22835204088828212</v>
      </c>
      <c r="AC122" s="222">
        <f t="shared" si="26"/>
        <v>94.39991433943851</v>
      </c>
      <c r="AD122" s="95">
        <v>0.71115352290845579</v>
      </c>
      <c r="AE122" s="95">
        <v>0.15353800279115445</v>
      </c>
      <c r="AF122" s="95">
        <v>0.13530847430038975</v>
      </c>
      <c r="AG122" s="96">
        <v>0.22642057683031019</v>
      </c>
      <c r="AH122" s="96">
        <f t="shared" ref="AH122" si="28">AD122/AF122</f>
        <v>5.2557944104052865</v>
      </c>
      <c r="AI122" s="217">
        <f t="shared" si="13"/>
        <v>4.6317752607201843</v>
      </c>
      <c r="AJ122" s="95">
        <f t="shared" si="13"/>
        <v>1.1347256968569055</v>
      </c>
    </row>
    <row r="123" spans="1:36" ht="14" customHeight="1">
      <c r="A123" s="223" t="s">
        <v>281</v>
      </c>
      <c r="B123" s="247"/>
      <c r="H123" s="216"/>
      <c r="I123" s="217"/>
      <c r="J123" s="216"/>
      <c r="K123" s="217"/>
      <c r="L123" s="217"/>
      <c r="M123" s="217"/>
      <c r="N123" s="217"/>
      <c r="O123" s="217">
        <f>AVERAGE(O118:O122)</f>
        <v>1.4978000000000002</v>
      </c>
      <c r="P123" s="217">
        <f>AVERAGE(P118:P122)</f>
        <v>1.8590000000000004</v>
      </c>
      <c r="Q123" s="217"/>
      <c r="R123" s="217"/>
      <c r="S123" s="217"/>
      <c r="T123" s="218">
        <f t="shared" ref="T123" si="29">AVERAGE(T118:T122)</f>
        <v>4.6400000000000011E-2</v>
      </c>
      <c r="U123" s="217">
        <f>AVERAGE(U118:U122)</f>
        <v>2.8330033003300337E-2</v>
      </c>
      <c r="V123" s="217"/>
      <c r="W123" s="217"/>
      <c r="X123" s="217"/>
      <c r="Y123" s="218"/>
      <c r="Z123" s="216"/>
      <c r="AA123" s="219"/>
      <c r="AB123" s="219"/>
      <c r="AC123" s="219"/>
      <c r="AD123" s="95"/>
      <c r="AE123" s="95"/>
      <c r="AF123" s="95"/>
      <c r="AG123" s="96"/>
      <c r="AH123" s="96"/>
      <c r="AI123" s="216"/>
      <c r="AJ123" s="95"/>
    </row>
    <row r="124" spans="1:36" ht="14" customHeight="1">
      <c r="A124" s="34" t="s">
        <v>204</v>
      </c>
      <c r="B124" s="247"/>
      <c r="H124" s="216"/>
      <c r="I124" s="217"/>
      <c r="J124" s="216"/>
      <c r="K124" s="217"/>
      <c r="L124" s="217"/>
      <c r="M124" s="217"/>
      <c r="N124" s="217"/>
      <c r="O124" s="217">
        <f>_xlfn.STDEV.S(O118:O122)</f>
        <v>0.57218545944475019</v>
      </c>
      <c r="P124" s="217">
        <f>_xlfn.STDEV.S(P118:P122)</f>
        <v>0.47710061831860884</v>
      </c>
      <c r="Q124" s="217"/>
      <c r="R124" s="217"/>
      <c r="S124" s="217"/>
      <c r="T124" s="218">
        <f t="shared" ref="T124" si="30">_xlfn.STDEV.S(T118:T122)</f>
        <v>2.6119724347703207E-2</v>
      </c>
      <c r="U124" s="217">
        <f>_xlfn.STDEV.S(U118:U122)</f>
        <v>1.5947686482921095E-2</v>
      </c>
      <c r="V124" s="217"/>
      <c r="W124" s="217"/>
      <c r="X124" s="217"/>
      <c r="Y124" s="218"/>
      <c r="Z124" s="216"/>
      <c r="AA124" s="219"/>
      <c r="AB124" s="219"/>
      <c r="AC124" s="219"/>
      <c r="AD124" s="95"/>
      <c r="AE124" s="95"/>
      <c r="AF124" s="95"/>
      <c r="AG124" s="96"/>
      <c r="AH124" s="96"/>
      <c r="AI124" s="216"/>
      <c r="AJ124" s="95"/>
    </row>
    <row r="125" spans="1:36" s="247" customFormat="1" ht="14" customHeight="1">
      <c r="A125" s="247" t="s">
        <v>1128</v>
      </c>
      <c r="B125" s="247" t="s">
        <v>94</v>
      </c>
      <c r="C125" s="247" t="s">
        <v>95</v>
      </c>
      <c r="D125" s="247" t="s">
        <v>1085</v>
      </c>
      <c r="E125" s="247" t="s">
        <v>1100</v>
      </c>
      <c r="F125" s="247" t="s">
        <v>1036</v>
      </c>
      <c r="G125" s="247" t="s">
        <v>1037</v>
      </c>
      <c r="H125" s="248">
        <v>41.783000000000001</v>
      </c>
      <c r="I125" s="249">
        <v>0.19800000000000001</v>
      </c>
      <c r="J125" s="248">
        <v>54.759</v>
      </c>
      <c r="K125" s="249" t="s">
        <v>1038</v>
      </c>
      <c r="L125" s="249">
        <v>0.1</v>
      </c>
      <c r="M125" s="249" t="s">
        <v>1038</v>
      </c>
      <c r="N125" s="249" t="s">
        <v>1038</v>
      </c>
      <c r="O125" s="249">
        <v>3.02</v>
      </c>
      <c r="P125" s="249">
        <v>0.19800000000000001</v>
      </c>
      <c r="Q125" s="249"/>
      <c r="R125" s="249" t="s">
        <v>1038</v>
      </c>
      <c r="S125" s="249"/>
      <c r="T125" s="249"/>
      <c r="U125" s="249"/>
      <c r="V125" s="249" t="s">
        <v>1038</v>
      </c>
      <c r="W125" s="249" t="s">
        <v>1038</v>
      </c>
      <c r="X125" s="249">
        <v>0.108</v>
      </c>
      <c r="Y125" s="250" t="s">
        <v>1038</v>
      </c>
      <c r="Z125" s="248">
        <v>100.166</v>
      </c>
      <c r="AA125" s="251">
        <f>-(O125*15.9994/(2*18.9984))</f>
        <v>-1.2716383484925047</v>
      </c>
      <c r="AB125" s="251"/>
      <c r="AC125" s="251"/>
      <c r="AD125" s="252">
        <v>0.80895239478704006</v>
      </c>
      <c r="AE125" s="252">
        <v>2.8423192483028135E-2</v>
      </c>
      <c r="AF125" s="252">
        <v>0.16262441272993181</v>
      </c>
      <c r="AG125" s="253">
        <v>0.28761024052914425</v>
      </c>
      <c r="AH125" s="253">
        <f>AD125/AF125</f>
        <v>4.9743601296224602</v>
      </c>
      <c r="AI125" s="248">
        <f t="shared" si="13"/>
        <v>28.46099695768082</v>
      </c>
      <c r="AJ125" s="252">
        <f>AE125/AF125</f>
        <v>0.1747781406610221</v>
      </c>
    </row>
    <row r="126" spans="1:36" s="247" customFormat="1" ht="14" customHeight="1">
      <c r="A126" s="247" t="s">
        <v>1129</v>
      </c>
      <c r="B126" s="247" t="s">
        <v>94</v>
      </c>
      <c r="C126" s="247" t="s">
        <v>95</v>
      </c>
      <c r="D126" s="247" t="s">
        <v>1085</v>
      </c>
      <c r="E126" s="247" t="s">
        <v>1100</v>
      </c>
      <c r="F126" s="247" t="s">
        <v>1036</v>
      </c>
      <c r="G126" s="247" t="s">
        <v>1037</v>
      </c>
      <c r="H126" s="248">
        <v>40.287999999999997</v>
      </c>
      <c r="I126" s="249">
        <v>0.16800000000000001</v>
      </c>
      <c r="J126" s="248">
        <v>53.981000000000002</v>
      </c>
      <c r="K126" s="249" t="s">
        <v>1038</v>
      </c>
      <c r="L126" s="249">
        <v>0.16</v>
      </c>
      <c r="M126" s="249" t="s">
        <v>1038</v>
      </c>
      <c r="N126" s="249" t="s">
        <v>1038</v>
      </c>
      <c r="O126" s="249">
        <v>2.827</v>
      </c>
      <c r="P126" s="249">
        <v>0.12</v>
      </c>
      <c r="Q126" s="249"/>
      <c r="R126" s="249">
        <v>4.4999999999999998E-2</v>
      </c>
      <c r="S126" s="249"/>
      <c r="T126" s="248">
        <f t="shared" si="25"/>
        <v>1.7999999999999999E-2</v>
      </c>
      <c r="U126" s="249"/>
      <c r="V126" s="249" t="s">
        <v>1038</v>
      </c>
      <c r="W126" s="249" t="s">
        <v>1038</v>
      </c>
      <c r="X126" s="249" t="s">
        <v>1038</v>
      </c>
      <c r="Y126" s="250" t="s">
        <v>1038</v>
      </c>
      <c r="Z126" s="248">
        <v>97.588999999999999</v>
      </c>
      <c r="AA126" s="251">
        <f>-(O126*15.9994/(2*18.9984))</f>
        <v>-1.1903713944332155</v>
      </c>
      <c r="AB126" s="251"/>
      <c r="AC126" s="251"/>
      <c r="AD126" s="252">
        <v>0.77784235959909598</v>
      </c>
      <c r="AE126" s="252">
        <v>1.7694515337141746E-2</v>
      </c>
      <c r="AF126" s="252">
        <v>0.20446312506376227</v>
      </c>
      <c r="AG126" s="253">
        <v>0.3520333745705892</v>
      </c>
      <c r="AH126" s="253">
        <f>AD126/AF126</f>
        <v>3.8043161051975711</v>
      </c>
      <c r="AI126" s="248">
        <f t="shared" ref="AI126:AI137" si="31">AD126/AE126</f>
        <v>43.959517668526516</v>
      </c>
      <c r="AJ126" s="252">
        <f>AE126/AF126</f>
        <v>8.654135229334714E-2</v>
      </c>
    </row>
    <row r="127" spans="1:36" s="132" customFormat="1" ht="14" customHeight="1">
      <c r="B127" s="247"/>
      <c r="H127" s="254"/>
      <c r="I127" s="255"/>
      <c r="J127" s="254"/>
      <c r="K127" s="255"/>
      <c r="L127" s="255"/>
      <c r="M127" s="255"/>
      <c r="N127" s="255"/>
      <c r="O127" s="255"/>
      <c r="P127" s="255"/>
      <c r="Q127" s="255"/>
      <c r="R127" s="255"/>
      <c r="S127" s="255"/>
      <c r="T127" s="217"/>
      <c r="U127" s="217"/>
      <c r="V127" s="255"/>
      <c r="W127" s="255"/>
      <c r="X127" s="255"/>
      <c r="Y127" s="256"/>
      <c r="Z127" s="258"/>
      <c r="AA127" s="257"/>
      <c r="AB127" s="257"/>
      <c r="AC127" s="257"/>
      <c r="AE127" s="133"/>
      <c r="AF127" s="133"/>
      <c r="AG127" s="134"/>
      <c r="AH127" s="96"/>
      <c r="AI127" s="216"/>
      <c r="AJ127" s="95"/>
    </row>
    <row r="128" spans="1:36" ht="14" customHeight="1">
      <c r="A128" s="3" t="s">
        <v>520</v>
      </c>
      <c r="B128" s="3" t="s">
        <v>94</v>
      </c>
      <c r="C128" s="3" t="s">
        <v>83</v>
      </c>
      <c r="D128" s="3" t="s">
        <v>1130</v>
      </c>
      <c r="E128" s="3" t="s">
        <v>1118</v>
      </c>
      <c r="F128" s="3" t="s">
        <v>1036</v>
      </c>
      <c r="G128" s="3" t="s">
        <v>1119</v>
      </c>
      <c r="H128" s="216">
        <v>40.874000000000002</v>
      </c>
      <c r="I128" s="217">
        <v>0.13</v>
      </c>
      <c r="J128" s="216">
        <v>53.853999999999999</v>
      </c>
      <c r="K128" s="217" t="s">
        <v>1038</v>
      </c>
      <c r="L128" s="217">
        <v>0.46600000000000003</v>
      </c>
      <c r="M128" s="217">
        <v>0.114</v>
      </c>
      <c r="N128" s="217" t="s">
        <v>1038</v>
      </c>
      <c r="O128" s="217">
        <v>1.762</v>
      </c>
      <c r="P128" s="217">
        <v>0.94299999999999995</v>
      </c>
      <c r="Q128" s="217"/>
      <c r="R128" s="217">
        <v>0.248</v>
      </c>
      <c r="S128" s="217"/>
      <c r="T128" s="217">
        <f t="shared" si="25"/>
        <v>9.920000000000001E-2</v>
      </c>
      <c r="U128" s="217">
        <f>T128/(1.2*10.1/7.4)</f>
        <v>6.0567656765676575E-2</v>
      </c>
      <c r="V128" s="224" t="s">
        <v>1038</v>
      </c>
      <c r="W128" s="217">
        <v>0.1</v>
      </c>
      <c r="X128" s="217" t="s">
        <v>1038</v>
      </c>
      <c r="Y128" s="218" t="s">
        <v>1089</v>
      </c>
      <c r="Z128" s="216">
        <f>SUM(H128:Y128)</f>
        <v>98.650767656765666</v>
      </c>
      <c r="AA128" s="219">
        <f>-(O128*15.9994/(2*18.9984))</f>
        <v>-0.74192939405423608</v>
      </c>
      <c r="AB128" s="219">
        <f>-(P128*15.9994/(2*35.4527))</f>
        <v>-0.21278258355499016</v>
      </c>
      <c r="AC128" s="219">
        <f>Z128+SUM(AA128:AB128)</f>
        <v>97.696055679156444</v>
      </c>
      <c r="AD128" s="95">
        <v>0.47864159608865625</v>
      </c>
      <c r="AE128" s="95">
        <v>0.13728018966570926</v>
      </c>
      <c r="AF128" s="95">
        <v>0.38407821424563443</v>
      </c>
      <c r="AG128" s="96">
        <v>0.66980712943852094</v>
      </c>
      <c r="AH128" s="96">
        <f>AD128/AF128</f>
        <v>1.246208658381609</v>
      </c>
      <c r="AI128" s="217">
        <f t="shared" si="31"/>
        <v>3.4866035460338125</v>
      </c>
      <c r="AJ128" s="95">
        <f>AE128/AF128</f>
        <v>0.35742769200106911</v>
      </c>
    </row>
    <row r="129" spans="1:36" ht="14" customHeight="1">
      <c r="A129" s="3" t="s">
        <v>521</v>
      </c>
      <c r="B129" s="3" t="s">
        <v>94</v>
      </c>
      <c r="C129" s="3" t="s">
        <v>83</v>
      </c>
      <c r="D129" s="3" t="s">
        <v>1130</v>
      </c>
      <c r="E129" s="3" t="s">
        <v>1118</v>
      </c>
      <c r="F129" s="3" t="s">
        <v>1036</v>
      </c>
      <c r="G129" s="3" t="s">
        <v>1119</v>
      </c>
      <c r="H129" s="216">
        <v>42.152000000000001</v>
      </c>
      <c r="I129" s="217">
        <v>0.107</v>
      </c>
      <c r="J129" s="216">
        <v>53.783000000000001</v>
      </c>
      <c r="K129" s="217" t="s">
        <v>1038</v>
      </c>
      <c r="L129" s="217">
        <v>0.376</v>
      </c>
      <c r="M129" s="217">
        <v>0.127</v>
      </c>
      <c r="N129" s="217" t="s">
        <v>1038</v>
      </c>
      <c r="O129" s="217">
        <v>1.6990000000000001</v>
      </c>
      <c r="P129" s="217">
        <v>0.88200000000000001</v>
      </c>
      <c r="Q129" s="217"/>
      <c r="R129" s="217">
        <v>0.26400000000000001</v>
      </c>
      <c r="S129" s="217"/>
      <c r="T129" s="217">
        <f t="shared" si="25"/>
        <v>0.10560000000000001</v>
      </c>
      <c r="U129" s="217">
        <f t="shared" ref="U129:U131" si="32">T129/(1.2*10.1/7.4)</f>
        <v>6.4475247524752491E-2</v>
      </c>
      <c r="V129" s="224" t="s">
        <v>1038</v>
      </c>
      <c r="W129" s="217">
        <v>0.14199999999999999</v>
      </c>
      <c r="X129" s="217" t="s">
        <v>1038</v>
      </c>
      <c r="Y129" s="218" t="s">
        <v>1089</v>
      </c>
      <c r="Z129" s="216">
        <f>SUM(H129:Y129)</f>
        <v>99.702075247524746</v>
      </c>
      <c r="AA129" s="219">
        <f>-(O129*15.9994/(2*18.9984))</f>
        <v>-0.7154018391022402</v>
      </c>
      <c r="AB129" s="219">
        <f>-(P129*15.9994/(2*35.4527))</f>
        <v>-0.19901828069512334</v>
      </c>
      <c r="AC129" s="219">
        <f>Z129+SUM(AA129:AB129)</f>
        <v>98.787655127727376</v>
      </c>
      <c r="AD129" s="95">
        <v>0.453561199642873</v>
      </c>
      <c r="AE129" s="95">
        <v>0.12618355112497262</v>
      </c>
      <c r="AF129" s="95">
        <v>0.4202552492321544</v>
      </c>
      <c r="AG129" s="259">
        <v>0.74577059644083488</v>
      </c>
      <c r="AH129" s="96">
        <f>AD129/AF129</f>
        <v>1.0792517177871583</v>
      </c>
      <c r="AI129" s="217">
        <f t="shared" si="31"/>
        <v>3.5944558193140757</v>
      </c>
      <c r="AJ129" s="95">
        <f>AE129/AF129</f>
        <v>0.3002545509081011</v>
      </c>
    </row>
    <row r="130" spans="1:36" ht="14" customHeight="1">
      <c r="A130" s="3" t="s">
        <v>522</v>
      </c>
      <c r="B130" s="3" t="s">
        <v>94</v>
      </c>
      <c r="C130" s="3" t="s">
        <v>83</v>
      </c>
      <c r="D130" s="3" t="s">
        <v>1130</v>
      </c>
      <c r="E130" s="3" t="s">
        <v>1118</v>
      </c>
      <c r="F130" s="3" t="s">
        <v>1036</v>
      </c>
      <c r="G130" s="3" t="s">
        <v>1119</v>
      </c>
      <c r="H130" s="216">
        <v>41.726999999999997</v>
      </c>
      <c r="I130" s="217">
        <v>9.8000000000000004E-2</v>
      </c>
      <c r="J130" s="216">
        <v>53.923000000000002</v>
      </c>
      <c r="K130" s="217">
        <v>7.9000000000000001E-2</v>
      </c>
      <c r="L130" s="217">
        <v>0.47899999999999998</v>
      </c>
      <c r="M130" s="217">
        <v>9.8000000000000004E-2</v>
      </c>
      <c r="N130" s="217" t="s">
        <v>1038</v>
      </c>
      <c r="O130" s="217">
        <v>1.7270000000000001</v>
      </c>
      <c r="P130" s="217">
        <v>0.874</v>
      </c>
      <c r="Q130" s="217"/>
      <c r="R130" s="217">
        <v>0.17199999999999999</v>
      </c>
      <c r="S130" s="217"/>
      <c r="T130" s="217">
        <f t="shared" si="25"/>
        <v>6.88E-2</v>
      </c>
      <c r="U130" s="217">
        <f t="shared" si="32"/>
        <v>4.2006600660066007E-2</v>
      </c>
      <c r="V130" s="224" t="s">
        <v>1038</v>
      </c>
      <c r="W130" s="217">
        <v>0.10299999999999999</v>
      </c>
      <c r="X130" s="217" t="s">
        <v>1038</v>
      </c>
      <c r="Y130" s="218" t="s">
        <v>1089</v>
      </c>
      <c r="Z130" s="216">
        <f>SUM(H130:Y130)</f>
        <v>99.390806600660028</v>
      </c>
      <c r="AA130" s="219">
        <f>-(O130*15.9994/(2*18.9984))</f>
        <v>-0.72719186352534948</v>
      </c>
      <c r="AB130" s="219">
        <f>-(P130*15.9994/(2*35.4527))</f>
        <v>-0.1972131262216982</v>
      </c>
      <c r="AC130" s="219">
        <f>Z130+SUM(AA130:AB130)</f>
        <v>98.466401610912982</v>
      </c>
      <c r="AD130" s="95">
        <v>0.46369667870261849</v>
      </c>
      <c r="AE130" s="95">
        <v>0.12576063572973686</v>
      </c>
      <c r="AF130" s="95">
        <v>0.41054268556764473</v>
      </c>
      <c r="AG130" s="96">
        <v>0.72435472500253695</v>
      </c>
      <c r="AH130" s="96">
        <f>AD130/AF130</f>
        <v>1.1294725128557079</v>
      </c>
      <c r="AI130" s="217">
        <f t="shared" si="31"/>
        <v>3.687136885178568</v>
      </c>
      <c r="AJ130" s="95">
        <f>AE130/AF130</f>
        <v>0.30632779525922255</v>
      </c>
    </row>
    <row r="131" spans="1:36" ht="14" customHeight="1">
      <c r="A131" s="3" t="s">
        <v>523</v>
      </c>
      <c r="B131" s="3" t="s">
        <v>94</v>
      </c>
      <c r="C131" s="3" t="s">
        <v>83</v>
      </c>
      <c r="D131" s="3" t="s">
        <v>1130</v>
      </c>
      <c r="E131" s="3" t="s">
        <v>1118</v>
      </c>
      <c r="F131" s="3" t="s">
        <v>1036</v>
      </c>
      <c r="G131" s="3" t="s">
        <v>1119</v>
      </c>
      <c r="H131" s="216">
        <v>41.207000000000001</v>
      </c>
      <c r="I131" s="217">
        <v>8.7999999999999995E-2</v>
      </c>
      <c r="J131" s="216">
        <v>54.087000000000003</v>
      </c>
      <c r="K131" s="217">
        <v>8.5999999999999993E-2</v>
      </c>
      <c r="L131" s="217">
        <v>0.47</v>
      </c>
      <c r="M131" s="217">
        <v>8.6999999999999994E-2</v>
      </c>
      <c r="N131" s="217" t="s">
        <v>1038</v>
      </c>
      <c r="O131" s="217">
        <v>1.5760000000000001</v>
      </c>
      <c r="P131" s="217">
        <v>0.88200000000000001</v>
      </c>
      <c r="Q131" s="217"/>
      <c r="R131" s="217">
        <v>0.17399999999999999</v>
      </c>
      <c r="S131" s="217"/>
      <c r="T131" s="217">
        <f t="shared" si="25"/>
        <v>6.9599999999999995E-2</v>
      </c>
      <c r="U131" s="217">
        <f t="shared" si="32"/>
        <v>4.2495049504950491E-2</v>
      </c>
      <c r="V131" s="224" t="s">
        <v>1038</v>
      </c>
      <c r="W131" s="217">
        <v>0.121</v>
      </c>
      <c r="X131" s="217" t="s">
        <v>1038</v>
      </c>
      <c r="Y131" s="218" t="s">
        <v>1089</v>
      </c>
      <c r="Z131" s="216">
        <f>SUM(H131:Y131)</f>
        <v>98.89009504950495</v>
      </c>
      <c r="AA131" s="219">
        <f>-(O131*15.9994/(2*18.9984))</f>
        <v>-0.66360994610072421</v>
      </c>
      <c r="AB131" s="219">
        <f>-(P131*15.9994/(2*35.4527))</f>
        <v>-0.19901828069512334</v>
      </c>
      <c r="AC131" s="219">
        <f>Z131+SUM(AA131:AB131)</f>
        <v>98.027466822709101</v>
      </c>
      <c r="AD131" s="95">
        <v>0.4259090775501746</v>
      </c>
      <c r="AE131" s="95">
        <v>0.1277382353420673</v>
      </c>
      <c r="AF131" s="95">
        <v>0.44635268710775811</v>
      </c>
      <c r="AG131" s="96">
        <v>0.78244189539087861</v>
      </c>
      <c r="AH131" s="96">
        <f>AD131/AF131</f>
        <v>0.95419852921676707</v>
      </c>
      <c r="AI131" s="217">
        <f t="shared" si="31"/>
        <v>3.3342332967857464</v>
      </c>
      <c r="AJ131" s="95">
        <f>AE131/AF131</f>
        <v>0.28618229268378714</v>
      </c>
    </row>
    <row r="132" spans="1:36" s="34" customFormat="1" ht="14" customHeight="1">
      <c r="A132" s="223" t="s">
        <v>281</v>
      </c>
      <c r="B132" s="247"/>
      <c r="H132" s="232"/>
      <c r="I132" s="180"/>
      <c r="J132" s="232"/>
      <c r="K132" s="180"/>
      <c r="L132" s="180"/>
      <c r="M132" s="180"/>
      <c r="N132" s="180"/>
      <c r="O132" s="217">
        <f>AVERAGE(O128:O131)</f>
        <v>1.6910000000000003</v>
      </c>
      <c r="P132" s="217">
        <f>AVERAGE(P128:P131)</f>
        <v>0.89524999999999999</v>
      </c>
      <c r="Q132" s="217"/>
      <c r="R132" s="217"/>
      <c r="S132" s="217"/>
      <c r="T132" s="217">
        <f t="shared" ref="T132" si="33">AVERAGE(T128:T131)</f>
        <v>8.5800000000000015E-2</v>
      </c>
      <c r="U132" s="217">
        <f>AVERAGE(U128:U131)</f>
        <v>5.2386138613861391E-2</v>
      </c>
      <c r="V132" s="180"/>
      <c r="W132" s="180"/>
      <c r="X132" s="180"/>
      <c r="Y132" s="215"/>
      <c r="Z132" s="232"/>
      <c r="AA132" s="260"/>
      <c r="AB132" s="260"/>
      <c r="AC132" s="260"/>
      <c r="AE132" s="235"/>
      <c r="AF132" s="235"/>
      <c r="AG132" s="159"/>
      <c r="AH132" s="159"/>
      <c r="AI132" s="216"/>
      <c r="AJ132" s="235"/>
    </row>
    <row r="133" spans="1:36" s="34" customFormat="1" ht="14" customHeight="1">
      <c r="A133" s="34" t="s">
        <v>204</v>
      </c>
      <c r="B133" s="247"/>
      <c r="H133" s="232"/>
      <c r="I133" s="180"/>
      <c r="J133" s="232"/>
      <c r="K133" s="180"/>
      <c r="L133" s="180"/>
      <c r="M133" s="180"/>
      <c r="N133" s="180"/>
      <c r="O133" s="217">
        <f>_xlfn.STDEV.S(O128:O131)</f>
        <v>8.0882631015564754E-2</v>
      </c>
      <c r="P133" s="217">
        <f>_xlfn.STDEV.S(P128:P131)</f>
        <v>3.205594068707595E-2</v>
      </c>
      <c r="Q133" s="217"/>
      <c r="R133" s="217"/>
      <c r="S133" s="217"/>
      <c r="T133" s="217">
        <f t="shared" ref="T133" si="34">_xlfn.STDEV.S(T128:T131)</f>
        <v>1.934804038311539E-2</v>
      </c>
      <c r="U133" s="217">
        <f>_xlfn.STDEV.S(U128:U131)</f>
        <v>1.1813159969888987E-2</v>
      </c>
      <c r="V133" s="180"/>
      <c r="W133" s="180"/>
      <c r="X133" s="180"/>
      <c r="Y133" s="215"/>
      <c r="Z133" s="232"/>
      <c r="AA133" s="260"/>
      <c r="AB133" s="260"/>
      <c r="AC133" s="260"/>
      <c r="AE133" s="235"/>
      <c r="AF133" s="235"/>
      <c r="AG133" s="159"/>
      <c r="AH133" s="159"/>
      <c r="AI133" s="216"/>
      <c r="AJ133" s="235"/>
    </row>
    <row r="134" spans="1:36" s="247" customFormat="1" ht="14" customHeight="1">
      <c r="A134" s="247" t="s">
        <v>524</v>
      </c>
      <c r="B134" s="247" t="s">
        <v>94</v>
      </c>
      <c r="C134" s="247" t="s">
        <v>83</v>
      </c>
      <c r="D134" s="247" t="s">
        <v>1131</v>
      </c>
      <c r="E134" s="247" t="s">
        <v>1118</v>
      </c>
      <c r="F134" s="247" t="s">
        <v>1036</v>
      </c>
      <c r="G134" s="247" t="s">
        <v>1037</v>
      </c>
      <c r="H134" s="248">
        <v>40.832000000000001</v>
      </c>
      <c r="I134" s="249">
        <v>7.1999999999999995E-2</v>
      </c>
      <c r="J134" s="248">
        <v>55.320999999999998</v>
      </c>
      <c r="K134" s="249" t="s">
        <v>1038</v>
      </c>
      <c r="L134" s="249">
        <v>0.16700000000000001</v>
      </c>
      <c r="M134" s="249">
        <v>0.03</v>
      </c>
      <c r="N134" s="249" t="s">
        <v>1038</v>
      </c>
      <c r="O134" s="249">
        <v>2.9180000000000001</v>
      </c>
      <c r="P134" s="249">
        <v>0.14699999999999999</v>
      </c>
      <c r="Q134" s="249">
        <v>0.14699999999999999</v>
      </c>
      <c r="R134" s="249">
        <v>5.2999999999999999E-2</v>
      </c>
      <c r="S134" s="249">
        <v>5.2999999999999999E-2</v>
      </c>
      <c r="T134" s="249">
        <f t="shared" si="25"/>
        <v>2.12E-2</v>
      </c>
      <c r="U134" s="249"/>
      <c r="V134" s="249" t="s">
        <v>1038</v>
      </c>
      <c r="W134" s="249" t="s">
        <v>1038</v>
      </c>
      <c r="X134" s="249" t="s">
        <v>1038</v>
      </c>
      <c r="Y134" s="250" t="s">
        <v>1089</v>
      </c>
      <c r="Z134" s="248">
        <f>SUM(H134:Y134)</f>
        <v>99.761200000000002</v>
      </c>
      <c r="AA134" s="251">
        <f>-(O134*15.9994/(2*18.9984))</f>
        <v>-1.2286889738083207</v>
      </c>
      <c r="AB134" s="251">
        <f>-(P134*15.9994/(2*35.4527))</f>
        <v>-3.3169713449187226E-2</v>
      </c>
      <c r="AC134" s="251">
        <f>Z134+SUM(AA134:AB134)</f>
        <v>98.499341312742501</v>
      </c>
      <c r="AD134" s="252">
        <v>0.78943011409566144</v>
      </c>
      <c r="AE134" s="252">
        <v>2.1312646432827691E-2</v>
      </c>
      <c r="AF134" s="252">
        <v>0.18925723947151088</v>
      </c>
      <c r="AG134" s="261">
        <f>AE134/2*18/J134</f>
        <v>3.4672876104092339E-3</v>
      </c>
      <c r="AH134" s="253">
        <f>AD134/AF134</f>
        <v>4.171201673976098</v>
      </c>
      <c r="AI134" s="248">
        <f t="shared" si="31"/>
        <v>37.040454670129975</v>
      </c>
      <c r="AJ134" s="252">
        <f>AE134/AF134</f>
        <v>0.11261205379694821</v>
      </c>
    </row>
    <row r="135" spans="1:36" s="247" customFormat="1" ht="14" customHeight="1">
      <c r="A135" s="247" t="s">
        <v>525</v>
      </c>
      <c r="B135" s="247" t="s">
        <v>94</v>
      </c>
      <c r="C135" s="247" t="s">
        <v>83</v>
      </c>
      <c r="D135" s="247" t="s">
        <v>1131</v>
      </c>
      <c r="E135" s="247" t="s">
        <v>1118</v>
      </c>
      <c r="F135" s="247" t="s">
        <v>1036</v>
      </c>
      <c r="G135" s="247" t="s">
        <v>1037</v>
      </c>
      <c r="H135" s="248">
        <v>41.545000000000002</v>
      </c>
      <c r="I135" s="249">
        <v>9.1999999999999998E-2</v>
      </c>
      <c r="J135" s="248">
        <v>55.213000000000001</v>
      </c>
      <c r="K135" s="249" t="s">
        <v>1038</v>
      </c>
      <c r="L135" s="249">
        <v>0.161</v>
      </c>
      <c r="M135" s="249" t="s">
        <v>1038</v>
      </c>
      <c r="N135" s="249" t="s">
        <v>1038</v>
      </c>
      <c r="O135" s="249">
        <v>2.8849999999999998</v>
      </c>
      <c r="P135" s="249">
        <v>8.7999999999999995E-2</v>
      </c>
      <c r="Q135" s="249">
        <v>8.7999999999999995E-2</v>
      </c>
      <c r="R135" s="249" t="s">
        <v>1038</v>
      </c>
      <c r="S135" s="249">
        <v>1.7999999999999999E-2</v>
      </c>
      <c r="T135" s="249"/>
      <c r="U135" s="249"/>
      <c r="V135" s="249" t="s">
        <v>1038</v>
      </c>
      <c r="W135" s="249" t="s">
        <v>1038</v>
      </c>
      <c r="X135" s="249" t="s">
        <v>1038</v>
      </c>
      <c r="Y135" s="250" t="s">
        <v>1089</v>
      </c>
      <c r="Z135" s="248">
        <f>SUM(H135:Y135)</f>
        <v>100.08999999999999</v>
      </c>
      <c r="AA135" s="251">
        <f>-(O135*15.9994/(2*18.9984))</f>
        <v>-1.2147935878810847</v>
      </c>
      <c r="AB135" s="251">
        <f>-(P135*15.9994/(2*35.4527))</f>
        <v>-1.9856699207676708E-2</v>
      </c>
      <c r="AC135" s="251">
        <f>Z135+SUM(AA135:AB135)</f>
        <v>98.855349712911234</v>
      </c>
      <c r="AD135" s="252">
        <v>0.77372525908986911</v>
      </c>
      <c r="AE135" s="252">
        <v>1.264780827393929E-2</v>
      </c>
      <c r="AF135" s="252">
        <v>0.21362693263619159</v>
      </c>
      <c r="AG135" s="253">
        <v>0.37735462150103399</v>
      </c>
      <c r="AH135" s="253">
        <f>AD135/AF135</f>
        <v>3.6218525891935616</v>
      </c>
      <c r="AI135" s="248">
        <f t="shared" si="31"/>
        <v>61.174651159452189</v>
      </c>
      <c r="AJ135" s="252">
        <f>AE135/AF135</f>
        <v>5.9205120430571412E-2</v>
      </c>
    </row>
    <row r="136" spans="1:36" s="247" customFormat="1" ht="14" customHeight="1">
      <c r="A136" s="247" t="s">
        <v>526</v>
      </c>
      <c r="B136" s="247" t="s">
        <v>94</v>
      </c>
      <c r="C136" s="247" t="s">
        <v>83</v>
      </c>
      <c r="D136" s="247" t="s">
        <v>1131</v>
      </c>
      <c r="E136" s="247" t="s">
        <v>1118</v>
      </c>
      <c r="F136" s="247" t="s">
        <v>1036</v>
      </c>
      <c r="G136" s="247" t="s">
        <v>1037</v>
      </c>
      <c r="H136" s="248">
        <v>41.802</v>
      </c>
      <c r="I136" s="249">
        <v>7.1999999999999995E-2</v>
      </c>
      <c r="J136" s="248">
        <v>54.661000000000001</v>
      </c>
      <c r="K136" s="249" t="s">
        <v>1038</v>
      </c>
      <c r="L136" s="249">
        <v>0.24099999999999999</v>
      </c>
      <c r="M136" s="249" t="s">
        <v>1038</v>
      </c>
      <c r="N136" s="249" t="s">
        <v>1038</v>
      </c>
      <c r="O136" s="249">
        <v>2.78</v>
      </c>
      <c r="P136" s="249">
        <v>0.16800000000000001</v>
      </c>
      <c r="Q136" s="249">
        <v>0.16800000000000001</v>
      </c>
      <c r="R136" s="249">
        <v>4.1000000000000002E-2</v>
      </c>
      <c r="S136" s="249">
        <v>4.1000000000000002E-2</v>
      </c>
      <c r="T136" s="249">
        <f t="shared" ref="T136" si="35">0.4*R136</f>
        <v>1.6400000000000001E-2</v>
      </c>
      <c r="U136" s="249"/>
      <c r="V136" s="249" t="s">
        <v>1038</v>
      </c>
      <c r="W136" s="249" t="s">
        <v>1038</v>
      </c>
      <c r="X136" s="249" t="s">
        <v>1038</v>
      </c>
      <c r="Y136" s="250" t="s">
        <v>1089</v>
      </c>
      <c r="Z136" s="248">
        <f>SUM(H136:Y136)</f>
        <v>99.990400000000008</v>
      </c>
      <c r="AA136" s="251">
        <f>-(O136*15.9994/(2*18.9984))</f>
        <v>-1.1705809962944247</v>
      </c>
      <c r="AB136" s="251">
        <f>-(P136*15.9994/(2*35.4527))</f>
        <v>-3.7908243941928259E-2</v>
      </c>
      <c r="AC136" s="251">
        <f>Z136+SUM(AA136:AB136)</f>
        <v>98.781910759763662</v>
      </c>
      <c r="AD136" s="252">
        <v>0.74520282514333613</v>
      </c>
      <c r="AE136" s="252">
        <v>2.4134073015071197E-2</v>
      </c>
      <c r="AF136" s="252">
        <v>0.23066310184159267</v>
      </c>
      <c r="AG136" s="253">
        <v>0.40764587989777257</v>
      </c>
      <c r="AH136" s="253">
        <f>AD136/AF136</f>
        <v>3.23069801452294</v>
      </c>
      <c r="AI136" s="248">
        <f t="shared" si="31"/>
        <v>30.877623709763924</v>
      </c>
      <c r="AJ136" s="252">
        <f>AE136/AF136</f>
        <v>0.10462910115396443</v>
      </c>
    </row>
    <row r="137" spans="1:36" s="247" customFormat="1" ht="14" customHeight="1">
      <c r="A137" s="247" t="s">
        <v>527</v>
      </c>
      <c r="B137" s="247" t="s">
        <v>94</v>
      </c>
      <c r="C137" s="247" t="s">
        <v>83</v>
      </c>
      <c r="D137" s="247" t="s">
        <v>1131</v>
      </c>
      <c r="E137" s="247" t="s">
        <v>1118</v>
      </c>
      <c r="F137" s="247" t="s">
        <v>1036</v>
      </c>
      <c r="G137" s="247" t="s">
        <v>1037</v>
      </c>
      <c r="H137" s="248">
        <v>41.927</v>
      </c>
      <c r="I137" s="249">
        <v>6.8000000000000005E-2</v>
      </c>
      <c r="J137" s="248">
        <v>54.973999999999997</v>
      </c>
      <c r="K137" s="249" t="s">
        <v>1038</v>
      </c>
      <c r="L137" s="249">
        <v>0.30199999999999999</v>
      </c>
      <c r="M137" s="249">
        <v>2.8000000000000001E-2</v>
      </c>
      <c r="N137" s="249" t="s">
        <v>1038</v>
      </c>
      <c r="O137" s="249">
        <v>2.6989999999999998</v>
      </c>
      <c r="P137" s="249">
        <v>0.313</v>
      </c>
      <c r="Q137" s="249">
        <v>0.313</v>
      </c>
      <c r="R137" s="249" t="s">
        <v>1038</v>
      </c>
      <c r="S137" s="249">
        <v>5.0000000000000001E-3</v>
      </c>
      <c r="T137" s="249"/>
      <c r="U137" s="249"/>
      <c r="V137" s="249" t="s">
        <v>1038</v>
      </c>
      <c r="W137" s="249" t="s">
        <v>1038</v>
      </c>
      <c r="X137" s="249" t="s">
        <v>1038</v>
      </c>
      <c r="Y137" s="250" t="s">
        <v>1089</v>
      </c>
      <c r="Z137" s="248">
        <f>SUM(H137:Y137)</f>
        <v>100.629</v>
      </c>
      <c r="AA137" s="251">
        <f>-(O137*15.9994/(2*18.9984))</f>
        <v>-1.1364741399275726</v>
      </c>
      <c r="AB137" s="251">
        <f>-(P137*15.9994/(2*35.4527))</f>
        <v>-7.0626668772759194E-2</v>
      </c>
      <c r="AC137" s="251">
        <f>Z137+SUM(AA137:AB137)</f>
        <v>99.421899191299673</v>
      </c>
      <c r="AD137" s="252">
        <v>0.72066673459135433</v>
      </c>
      <c r="AE137" s="252">
        <v>4.4788608780443995E-2</v>
      </c>
      <c r="AF137" s="252">
        <v>0.23454465662820168</v>
      </c>
      <c r="AG137" s="253">
        <v>0.41612957047001775</v>
      </c>
      <c r="AH137" s="253">
        <f>AD137/AF137</f>
        <v>3.0726205616943538</v>
      </c>
      <c r="AI137" s="248">
        <f t="shared" si="31"/>
        <v>16.090402319127588</v>
      </c>
      <c r="AJ137" s="252">
        <f>AE137/AF137</f>
        <v>0.1909598343629825</v>
      </c>
    </row>
    <row r="138" spans="1:36" s="132" customFormat="1" ht="14" customHeight="1">
      <c r="A138" s="223" t="s">
        <v>281</v>
      </c>
      <c r="E138" s="3"/>
      <c r="H138" s="254"/>
      <c r="I138" s="255"/>
      <c r="J138" s="254"/>
      <c r="K138" s="255"/>
      <c r="L138" s="255"/>
      <c r="M138" s="255"/>
      <c r="N138" s="255"/>
      <c r="O138" s="217">
        <f>AVERAGE(O134:O137)</f>
        <v>2.8205</v>
      </c>
      <c r="P138" s="217">
        <f>AVERAGE(P134:P137)</f>
        <v>0.17899999999999999</v>
      </c>
      <c r="Q138" s="217"/>
      <c r="R138" s="217"/>
      <c r="S138" s="217"/>
      <c r="T138" s="217">
        <f t="shared" ref="T138" si="36">AVERAGE(T134:T137)</f>
        <v>1.8800000000000001E-2</v>
      </c>
      <c r="U138" s="217"/>
      <c r="V138" s="255"/>
      <c r="W138" s="255"/>
      <c r="X138" s="255"/>
      <c r="Y138" s="256"/>
      <c r="Z138" s="254"/>
      <c r="AA138" s="257"/>
      <c r="AB138" s="257"/>
      <c r="AC138" s="257"/>
      <c r="AE138" s="133"/>
      <c r="AF138" s="133"/>
      <c r="AG138" s="133"/>
      <c r="AH138" s="95"/>
      <c r="AJ138" s="95"/>
    </row>
    <row r="139" spans="1:36" s="132" customFormat="1" ht="14" customHeight="1">
      <c r="A139" s="34" t="s">
        <v>204</v>
      </c>
      <c r="H139" s="254"/>
      <c r="I139" s="255"/>
      <c r="J139" s="254"/>
      <c r="K139" s="255"/>
      <c r="L139" s="255"/>
      <c r="M139" s="255"/>
      <c r="N139" s="255"/>
      <c r="O139" s="217">
        <f>_xlfn.STDEV.S(O134:O137)</f>
        <v>0.10011493395093471</v>
      </c>
      <c r="P139" s="217">
        <f>_xlfn.STDEV.S(P134:P137)</f>
        <v>9.5537078316920182E-2</v>
      </c>
      <c r="Q139" s="217"/>
      <c r="R139" s="217"/>
      <c r="S139" s="217"/>
      <c r="T139" s="217">
        <f t="shared" ref="T139" si="37">_xlfn.STDEV.S(T134:T137)</f>
        <v>3.3941125496954271E-3</v>
      </c>
      <c r="U139" s="217"/>
      <c r="V139" s="255"/>
      <c r="W139" s="255"/>
      <c r="X139" s="255"/>
      <c r="Y139" s="256"/>
      <c r="Z139" s="254"/>
      <c r="AA139" s="257"/>
      <c r="AB139" s="257"/>
      <c r="AC139" s="257"/>
      <c r="AE139" s="133"/>
      <c r="AF139" s="133"/>
      <c r="AG139" s="133"/>
      <c r="AH139" s="95"/>
      <c r="AJ139" s="95"/>
    </row>
    <row r="140" spans="1:36" ht="14" customHeight="1">
      <c r="H140" s="216"/>
      <c r="I140" s="217"/>
      <c r="J140" s="216"/>
      <c r="K140" s="217"/>
      <c r="L140" s="217"/>
      <c r="M140" s="217"/>
      <c r="N140" s="217"/>
      <c r="O140" s="217"/>
      <c r="P140" s="217"/>
      <c r="Q140" s="217"/>
      <c r="R140" s="217"/>
      <c r="S140" s="217"/>
      <c r="T140" s="217"/>
      <c r="U140" s="217"/>
      <c r="V140" s="217"/>
      <c r="W140" s="217"/>
      <c r="X140" s="217"/>
      <c r="Z140" s="216"/>
      <c r="AA140" s="217"/>
      <c r="AB140" s="219"/>
      <c r="AC140" s="217"/>
    </row>
    <row r="141" spans="1:36" ht="14" customHeight="1">
      <c r="H141" s="216"/>
      <c r="I141" s="217"/>
      <c r="J141" s="216"/>
      <c r="K141" s="217"/>
      <c r="L141" s="217"/>
      <c r="M141" s="217"/>
      <c r="N141" s="217"/>
      <c r="O141" s="217"/>
      <c r="P141" s="217"/>
      <c r="Q141" s="217"/>
      <c r="R141" s="217"/>
      <c r="S141" s="217"/>
      <c r="T141" s="217"/>
      <c r="U141" s="217"/>
      <c r="V141" s="217"/>
      <c r="W141" s="217"/>
      <c r="X141" s="217"/>
      <c r="Z141" s="216"/>
      <c r="AA141" s="217"/>
      <c r="AB141" s="219"/>
      <c r="AC141" s="217"/>
    </row>
    <row r="142" spans="1:36" ht="14" customHeight="1">
      <c r="A142" s="262" t="s">
        <v>1014</v>
      </c>
      <c r="B142" s="263"/>
      <c r="C142" s="263"/>
      <c r="D142" s="263"/>
      <c r="E142" s="263"/>
      <c r="F142" s="263"/>
      <c r="G142" s="263"/>
      <c r="H142" s="263"/>
      <c r="I142" s="263"/>
      <c r="J142" s="263"/>
      <c r="K142" s="263"/>
      <c r="L142" s="263"/>
      <c r="M142" s="263"/>
      <c r="N142" s="263"/>
      <c r="O142" s="263"/>
      <c r="P142" s="263"/>
      <c r="Q142" s="263"/>
      <c r="R142" s="263"/>
      <c r="S142" s="263"/>
      <c r="T142" s="263"/>
      <c r="U142" s="263"/>
      <c r="V142" s="263"/>
      <c r="W142" s="263"/>
      <c r="X142" s="263"/>
      <c r="Y142" s="263"/>
      <c r="Z142" s="263"/>
      <c r="AA142" s="263"/>
      <c r="AB142" s="263"/>
      <c r="AC142" s="263"/>
      <c r="AD142" s="264"/>
      <c r="AE142" s="264"/>
      <c r="AF142" s="264"/>
      <c r="AG142" s="264"/>
      <c r="AH142" s="263"/>
      <c r="AI142" s="263"/>
      <c r="AJ142" s="263"/>
    </row>
    <row r="143" spans="1:36" ht="14" customHeight="1">
      <c r="A143" s="214"/>
    </row>
    <row r="144" spans="1:36" ht="14" customHeight="1">
      <c r="A144" s="265" t="s">
        <v>1132</v>
      </c>
      <c r="B144" s="266" t="s">
        <v>1133</v>
      </c>
      <c r="C144" s="267"/>
      <c r="E144" s="268"/>
      <c r="F144" s="268"/>
      <c r="G144" s="269"/>
      <c r="H144" s="269"/>
      <c r="I144" s="269"/>
    </row>
    <row r="145" spans="1:15" ht="14" customHeight="1">
      <c r="A145" s="265" t="s">
        <v>1134</v>
      </c>
      <c r="B145" s="266" t="s">
        <v>1135</v>
      </c>
      <c r="C145" s="267"/>
      <c r="E145" s="268"/>
      <c r="F145" s="268"/>
      <c r="G145" s="269"/>
      <c r="H145" s="269"/>
      <c r="I145" s="269"/>
    </row>
    <row r="146" spans="1:15" ht="14" customHeight="1">
      <c r="A146" s="265" t="s">
        <v>1136</v>
      </c>
      <c r="B146" s="266" t="s">
        <v>1137</v>
      </c>
      <c r="C146" s="267"/>
      <c r="E146" s="268"/>
      <c r="F146" s="268"/>
      <c r="G146" s="269"/>
      <c r="H146" s="269"/>
      <c r="I146" s="269"/>
    </row>
    <row r="147" spans="1:15" ht="14" customHeight="1">
      <c r="A147" s="270"/>
      <c r="B147" s="271"/>
      <c r="C147" s="272"/>
      <c r="D147" s="273"/>
      <c r="E147" s="274"/>
      <c r="F147" s="274"/>
      <c r="G147" s="275"/>
      <c r="H147" s="275"/>
      <c r="I147" s="275"/>
      <c r="J147" s="273"/>
    </row>
    <row r="148" spans="1:15" ht="14" customHeight="1">
      <c r="A148" s="276" t="s">
        <v>1138</v>
      </c>
      <c r="B148" s="277" t="s">
        <v>1139</v>
      </c>
      <c r="C148" s="277" t="s">
        <v>1139</v>
      </c>
      <c r="D148" s="277" t="s">
        <v>1139</v>
      </c>
      <c r="E148" s="277" t="s">
        <v>1139</v>
      </c>
      <c r="F148" s="277" t="s">
        <v>1139</v>
      </c>
      <c r="G148" s="277" t="s">
        <v>1139</v>
      </c>
      <c r="H148" s="277" t="s">
        <v>1139</v>
      </c>
      <c r="I148" s="277" t="s">
        <v>1139</v>
      </c>
      <c r="J148" s="277" t="s">
        <v>1139</v>
      </c>
      <c r="K148" s="277" t="s">
        <v>1139</v>
      </c>
      <c r="L148" s="277" t="s">
        <v>1139</v>
      </c>
      <c r="M148" s="277" t="s">
        <v>1139</v>
      </c>
      <c r="N148" s="277" t="s">
        <v>1139</v>
      </c>
      <c r="O148" s="278" t="s">
        <v>1139</v>
      </c>
    </row>
    <row r="149" spans="1:15" ht="14" customHeight="1">
      <c r="A149" s="279" t="s">
        <v>1140</v>
      </c>
      <c r="B149" s="98" t="s">
        <v>1141</v>
      </c>
      <c r="C149" s="98" t="s">
        <v>1142</v>
      </c>
      <c r="D149" s="98" t="s">
        <v>1143</v>
      </c>
      <c r="E149" s="98" t="s">
        <v>1144</v>
      </c>
      <c r="F149" s="98" t="s">
        <v>1145</v>
      </c>
      <c r="G149" s="98" t="s">
        <v>1146</v>
      </c>
      <c r="H149" s="98" t="s">
        <v>1147</v>
      </c>
      <c r="I149" s="98" t="s">
        <v>1148</v>
      </c>
      <c r="J149" s="98" t="s">
        <v>1149</v>
      </c>
      <c r="K149" s="98" t="s">
        <v>1150</v>
      </c>
      <c r="L149" s="98" t="s">
        <v>1151</v>
      </c>
      <c r="M149" s="98" t="s">
        <v>1152</v>
      </c>
      <c r="N149" s="98" t="s">
        <v>1153</v>
      </c>
      <c r="O149" s="280" t="s">
        <v>1154</v>
      </c>
    </row>
    <row r="150" spans="1:15" ht="14" customHeight="1">
      <c r="A150" s="279" t="s">
        <v>1155</v>
      </c>
      <c r="B150" s="98" t="s">
        <v>1156</v>
      </c>
      <c r="C150" s="98" t="s">
        <v>1157</v>
      </c>
      <c r="D150" s="98" t="s">
        <v>1157</v>
      </c>
      <c r="E150" s="98" t="s">
        <v>1157</v>
      </c>
      <c r="F150" s="98" t="s">
        <v>1156</v>
      </c>
      <c r="G150" s="98" t="s">
        <v>1158</v>
      </c>
      <c r="H150" s="98" t="s">
        <v>1158</v>
      </c>
      <c r="I150" s="98" t="s">
        <v>1156</v>
      </c>
      <c r="J150" s="98" t="s">
        <v>1157</v>
      </c>
      <c r="K150" s="98" t="s">
        <v>1159</v>
      </c>
      <c r="L150" s="98" t="s">
        <v>1160</v>
      </c>
      <c r="M150" s="98" t="s">
        <v>1161</v>
      </c>
      <c r="N150" s="98" t="s">
        <v>1156</v>
      </c>
      <c r="O150" s="280" t="s">
        <v>1156</v>
      </c>
    </row>
    <row r="151" spans="1:15" ht="14" customHeight="1">
      <c r="A151" s="279" t="s">
        <v>1162</v>
      </c>
      <c r="B151" s="98">
        <v>15</v>
      </c>
      <c r="C151" s="98">
        <v>20</v>
      </c>
      <c r="D151" s="98">
        <v>20</v>
      </c>
      <c r="E151" s="98">
        <v>20</v>
      </c>
      <c r="F151" s="98">
        <v>15</v>
      </c>
      <c r="G151" s="98">
        <v>40</v>
      </c>
      <c r="H151" s="98">
        <v>40</v>
      </c>
      <c r="I151" s="98">
        <v>30</v>
      </c>
      <c r="J151" s="98">
        <v>20</v>
      </c>
      <c r="K151" s="98">
        <v>20</v>
      </c>
      <c r="L151" s="98">
        <v>60</v>
      </c>
      <c r="M151" s="98">
        <v>20</v>
      </c>
      <c r="N151" s="98">
        <v>20</v>
      </c>
      <c r="O151" s="280">
        <v>5</v>
      </c>
    </row>
    <row r="152" spans="1:15" ht="14" customHeight="1">
      <c r="A152" s="281" t="s">
        <v>1163</v>
      </c>
      <c r="B152" s="282">
        <v>6.773530325724765E-2</v>
      </c>
      <c r="C152" s="282">
        <v>1.3451519926384185E-2</v>
      </c>
      <c r="D152" s="282">
        <v>1.3590789059655125E-2</v>
      </c>
      <c r="E152" s="282">
        <v>1.4449597383097925E-2</v>
      </c>
      <c r="F152" s="282">
        <v>3.4428286731931788E-2</v>
      </c>
      <c r="G152" s="282">
        <v>5.1895773704091985E-2</v>
      </c>
      <c r="H152" s="282">
        <v>5.2067739671567956E-2</v>
      </c>
      <c r="I152" s="282">
        <v>8.5343941671060519E-2</v>
      </c>
      <c r="J152" s="282">
        <v>1.7319220578962461E-2</v>
      </c>
      <c r="K152" s="282">
        <v>1.4253033084913578E-2</v>
      </c>
      <c r="L152" s="282">
        <v>2.7060979605840672E-2</v>
      </c>
      <c r="M152" s="282">
        <v>8.768292424343814E-2</v>
      </c>
      <c r="N152" s="282">
        <v>1.8697965902713141E-2</v>
      </c>
      <c r="O152" s="283" t="s">
        <v>1089</v>
      </c>
    </row>
    <row r="155" spans="1:15">
      <c r="A155" s="3" t="s">
        <v>1354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9A367-6424-F74C-943C-C2A887C8D445}">
  <dimension ref="A1:CS189"/>
  <sheetViews>
    <sheetView topLeftCell="A65" workbookViewId="0">
      <selection activeCell="L8" sqref="L8"/>
    </sheetView>
  </sheetViews>
  <sheetFormatPr baseColWidth="10" defaultColWidth="8.83203125" defaultRowHeight="13"/>
  <cols>
    <col min="1" max="1" width="17" style="2" bestFit="1" customWidth="1"/>
    <col min="2" max="16" width="8.83203125" style="98"/>
    <col min="17" max="17" width="5.1640625" style="98" customWidth="1"/>
    <col min="18" max="18" width="8.83203125" style="98"/>
    <col min="19" max="19" width="14" style="98" bestFit="1" customWidth="1"/>
    <col min="20" max="22" width="8.83203125" style="98"/>
    <col min="23" max="23" width="14" style="98" bestFit="1" customWidth="1"/>
    <col min="24" max="26" width="8.83203125" style="98"/>
    <col min="27" max="27" width="10.33203125" style="98" customWidth="1"/>
    <col min="28" max="28" width="13.1640625" style="98" customWidth="1"/>
    <col min="29" max="29" width="8.83203125" style="98"/>
    <col min="30" max="30" width="13" style="98" customWidth="1"/>
    <col min="31" max="31" width="11.6640625" style="98" customWidth="1"/>
    <col min="32" max="32" width="10.33203125" style="98" customWidth="1"/>
    <col min="33" max="47" width="8.83203125" style="98"/>
    <col min="48" max="48" width="3" style="98" customWidth="1"/>
    <col min="49" max="63" width="8.83203125" style="98"/>
    <col min="64" max="64" width="2.83203125" style="98" customWidth="1"/>
    <col min="65" max="77" width="8.83203125" style="98"/>
    <col min="78" max="16384" width="8.83203125" style="2"/>
  </cols>
  <sheetData>
    <row r="1" spans="1:77" s="29" customFormat="1" ht="14" customHeight="1">
      <c r="L1" s="29" t="s">
        <v>1223</v>
      </c>
      <c r="AV1" s="91"/>
      <c r="AW1" s="29" t="s">
        <v>1224</v>
      </c>
      <c r="BL1" s="91"/>
      <c r="BM1" s="29" t="s">
        <v>1225</v>
      </c>
    </row>
    <row r="2" spans="1:77" s="91" customFormat="1" ht="17" customHeight="1">
      <c r="A2" s="34" t="s">
        <v>219</v>
      </c>
      <c r="B2" s="91" t="s">
        <v>111</v>
      </c>
      <c r="C2" s="91" t="s">
        <v>112</v>
      </c>
      <c r="D2" s="91" t="s">
        <v>113</v>
      </c>
      <c r="E2" s="91" t="s">
        <v>118</v>
      </c>
      <c r="F2" s="91" t="s">
        <v>1165</v>
      </c>
      <c r="G2" s="91" t="s">
        <v>1</v>
      </c>
      <c r="H2" s="91" t="s">
        <v>2</v>
      </c>
      <c r="I2" s="91" t="s">
        <v>3</v>
      </c>
      <c r="J2" s="91" t="s">
        <v>115</v>
      </c>
      <c r="K2" s="91" t="s">
        <v>116</v>
      </c>
      <c r="L2" s="91" t="s">
        <v>1226</v>
      </c>
      <c r="M2" s="91" t="s">
        <v>1019</v>
      </c>
      <c r="N2" s="91" t="s">
        <v>118</v>
      </c>
      <c r="O2" s="91" t="s">
        <v>1227</v>
      </c>
      <c r="P2" s="91" t="s">
        <v>5</v>
      </c>
      <c r="R2" s="288" t="s">
        <v>1228</v>
      </c>
      <c r="S2" s="288" t="s">
        <v>1229</v>
      </c>
      <c r="T2" s="288" t="s">
        <v>1230</v>
      </c>
      <c r="U2" s="288" t="s">
        <v>1231</v>
      </c>
      <c r="V2" s="289" t="s">
        <v>1232</v>
      </c>
      <c r="W2" s="288" t="s">
        <v>1229</v>
      </c>
      <c r="X2" s="91" t="s">
        <v>1233</v>
      </c>
      <c r="Y2" s="91" t="s">
        <v>1234</v>
      </c>
      <c r="Z2" s="91" t="s">
        <v>1235</v>
      </c>
      <c r="AA2" s="290" t="s">
        <v>1236</v>
      </c>
      <c r="AB2" s="290" t="s">
        <v>1237</v>
      </c>
      <c r="AC2" s="290" t="s">
        <v>1238</v>
      </c>
      <c r="AD2" s="291" t="s">
        <v>1239</v>
      </c>
      <c r="AE2" s="291" t="s">
        <v>1240</v>
      </c>
      <c r="AF2" s="91" t="s">
        <v>1241</v>
      </c>
      <c r="AW2" s="91" t="s">
        <v>1226</v>
      </c>
      <c r="AX2" s="91" t="s">
        <v>1242</v>
      </c>
      <c r="AY2" s="91" t="s">
        <v>1243</v>
      </c>
      <c r="AZ2" s="91" t="s">
        <v>1244</v>
      </c>
      <c r="BA2" s="91" t="s">
        <v>1245</v>
      </c>
      <c r="BB2" s="91" t="s">
        <v>1246</v>
      </c>
      <c r="BC2" s="91" t="s">
        <v>1247</v>
      </c>
      <c r="BD2" s="91" t="s">
        <v>74</v>
      </c>
      <c r="BE2" s="91" t="s">
        <v>1248</v>
      </c>
      <c r="BF2" s="91" t="s">
        <v>1249</v>
      </c>
      <c r="BG2" s="91" t="s">
        <v>1019</v>
      </c>
      <c r="BH2" s="91" t="s">
        <v>1250</v>
      </c>
      <c r="BI2" s="91" t="s">
        <v>20</v>
      </c>
      <c r="BJ2" s="91" t="s">
        <v>1251</v>
      </c>
      <c r="BK2" s="91" t="s">
        <v>5</v>
      </c>
      <c r="BM2" s="91" t="s">
        <v>1226</v>
      </c>
      <c r="BN2" s="91" t="s">
        <v>1242</v>
      </c>
      <c r="BO2" s="91" t="s">
        <v>1243</v>
      </c>
      <c r="BP2" s="91" t="s">
        <v>1244</v>
      </c>
      <c r="BQ2" s="91" t="s">
        <v>1245</v>
      </c>
      <c r="BR2" s="91" t="s">
        <v>1246</v>
      </c>
      <c r="BS2" s="91" t="s">
        <v>1247</v>
      </c>
      <c r="BT2" s="91" t="s">
        <v>74</v>
      </c>
      <c r="BU2" s="91" t="s">
        <v>1248</v>
      </c>
      <c r="BV2" s="91" t="s">
        <v>1249</v>
      </c>
      <c r="BW2" s="91" t="s">
        <v>1019</v>
      </c>
      <c r="BX2" s="91" t="s">
        <v>1250</v>
      </c>
      <c r="BY2" s="91" t="s">
        <v>20</v>
      </c>
    </row>
    <row r="3" spans="1:77" ht="14" customHeight="1">
      <c r="A3" s="2" t="s">
        <v>1252</v>
      </c>
      <c r="B3" s="96">
        <v>45.96</v>
      </c>
      <c r="C3" s="96">
        <v>1.63</v>
      </c>
      <c r="D3" s="96">
        <v>7.51</v>
      </c>
      <c r="E3" s="96">
        <v>0.03</v>
      </c>
      <c r="F3" s="96">
        <v>13.1</v>
      </c>
      <c r="G3" s="96">
        <v>0.18</v>
      </c>
      <c r="H3" s="96">
        <v>14.88</v>
      </c>
      <c r="I3" s="96">
        <v>11.12</v>
      </c>
      <c r="J3" s="96">
        <v>1.39</v>
      </c>
      <c r="K3" s="96">
        <v>0.22</v>
      </c>
      <c r="L3" s="96">
        <v>-0.02</v>
      </c>
      <c r="M3" s="96">
        <v>0.06</v>
      </c>
      <c r="N3" s="96">
        <v>0.03</v>
      </c>
      <c r="O3" s="96">
        <v>0</v>
      </c>
      <c r="P3" s="96">
        <v>96.08</v>
      </c>
      <c r="Q3" s="96"/>
      <c r="R3" s="99">
        <v>837.73666664881466</v>
      </c>
      <c r="S3" s="99">
        <v>22</v>
      </c>
      <c r="T3" s="96">
        <v>1.7730453344368744</v>
      </c>
      <c r="U3" s="96">
        <f>T3+0.69</f>
        <v>2.4630453344368743</v>
      </c>
      <c r="V3" s="96">
        <v>-11.305204690357689</v>
      </c>
      <c r="W3" s="96">
        <v>0.4</v>
      </c>
      <c r="X3" s="96">
        <v>1.2877702997845957</v>
      </c>
      <c r="Y3" s="96">
        <f t="shared" ref="Y3:Y12" si="0">0.5+0.331*X3+0.995*X3^2</f>
        <v>2.5763125525109718</v>
      </c>
      <c r="Z3" s="96">
        <f>0.16*Y3</f>
        <v>0.41221000840175548</v>
      </c>
      <c r="AA3" s="96" t="s">
        <v>1253</v>
      </c>
      <c r="AB3" s="96" t="s">
        <v>1254</v>
      </c>
      <c r="AC3" s="96">
        <v>6.6868832511204852</v>
      </c>
      <c r="AD3" s="96">
        <v>0.86229322524127439</v>
      </c>
      <c r="AE3" s="96" t="s">
        <v>1254</v>
      </c>
      <c r="AF3" s="96">
        <v>0.67663991367157783</v>
      </c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>
        <v>-0.02</v>
      </c>
      <c r="AX3" s="96">
        <v>1.03</v>
      </c>
      <c r="AY3" s="96">
        <v>8.9700000000000006</v>
      </c>
      <c r="AZ3" s="96">
        <v>3.97</v>
      </c>
      <c r="BA3" s="96">
        <v>21.49</v>
      </c>
      <c r="BB3" s="96">
        <v>0.19</v>
      </c>
      <c r="BC3" s="96">
        <v>7.94</v>
      </c>
      <c r="BD3" s="96">
        <v>0.98</v>
      </c>
      <c r="BE3" s="96">
        <v>0.14000000000000001</v>
      </c>
      <c r="BF3" s="96">
        <v>10.18</v>
      </c>
      <c r="BG3" s="96">
        <v>0.06</v>
      </c>
      <c r="BH3" s="96">
        <v>0</v>
      </c>
      <c r="BI3" s="96">
        <v>0.02</v>
      </c>
      <c r="BJ3" s="96">
        <v>41.11</v>
      </c>
      <c r="BK3" s="96">
        <v>96.06</v>
      </c>
      <c r="BM3" s="98">
        <v>0.1</v>
      </c>
      <c r="BN3" s="98">
        <v>0.1</v>
      </c>
      <c r="BO3" s="98">
        <v>0.2</v>
      </c>
      <c r="BP3" s="98">
        <v>0.11</v>
      </c>
      <c r="BQ3" s="98">
        <v>0.28999999999999998</v>
      </c>
      <c r="BR3" s="98">
        <v>0.03</v>
      </c>
      <c r="BS3" s="98">
        <v>0.16</v>
      </c>
      <c r="BT3" s="98">
        <v>0.05</v>
      </c>
      <c r="BU3" s="98">
        <v>0.06</v>
      </c>
      <c r="BV3" s="98">
        <v>0.34</v>
      </c>
      <c r="BW3" s="98">
        <v>0.02</v>
      </c>
      <c r="BX3" s="98">
        <v>0.01</v>
      </c>
      <c r="BY3" s="98">
        <v>0.03</v>
      </c>
    </row>
    <row r="4" spans="1:77" ht="14" customHeight="1">
      <c r="A4" s="2" t="s">
        <v>1255</v>
      </c>
      <c r="B4" s="96">
        <v>45.99</v>
      </c>
      <c r="C4" s="96">
        <v>1.61</v>
      </c>
      <c r="D4" s="96">
        <v>7.65</v>
      </c>
      <c r="E4" s="96">
        <v>0.06</v>
      </c>
      <c r="F4" s="96">
        <v>13.38</v>
      </c>
      <c r="G4" s="96">
        <v>0.17</v>
      </c>
      <c r="H4" s="96">
        <v>15.03</v>
      </c>
      <c r="I4" s="96">
        <v>11.07</v>
      </c>
      <c r="J4" s="96">
        <v>1.43</v>
      </c>
      <c r="K4" s="96">
        <v>0.25</v>
      </c>
      <c r="L4" s="96">
        <v>0.01</v>
      </c>
      <c r="M4" s="96">
        <v>0.06</v>
      </c>
      <c r="N4" s="96">
        <v>0.06</v>
      </c>
      <c r="O4" s="96">
        <v>0.01</v>
      </c>
      <c r="P4" s="96">
        <v>96.7</v>
      </c>
      <c r="Q4" s="96"/>
      <c r="R4" s="99">
        <v>850.13588638292413</v>
      </c>
      <c r="S4" s="99">
        <v>22</v>
      </c>
      <c r="T4" s="96">
        <v>1.8872456268458748</v>
      </c>
      <c r="U4" s="96">
        <f t="shared" ref="U4:U58" si="1">T4+0.69</f>
        <v>2.5772456268458748</v>
      </c>
      <c r="V4" s="96">
        <v>-10.947589046253562</v>
      </c>
      <c r="W4" s="96">
        <v>0.4</v>
      </c>
      <c r="X4" s="96">
        <v>1.3022596522500962</v>
      </c>
      <c r="Y4" s="96">
        <f t="shared" si="0"/>
        <v>2.6184487457639305</v>
      </c>
      <c r="Z4" s="96">
        <f t="shared" ref="Z4:Z67" si="2">0.16*Y4</f>
        <v>0.41895179932222887</v>
      </c>
      <c r="AA4" s="96" t="s">
        <v>1253</v>
      </c>
      <c r="AB4" s="96" t="s">
        <v>1254</v>
      </c>
      <c r="AC4" s="96">
        <v>6.6427026537327967</v>
      </c>
      <c r="AD4" s="96">
        <v>0.88193889569711925</v>
      </c>
      <c r="AE4" s="96" t="s">
        <v>1254</v>
      </c>
      <c r="AF4" s="96">
        <v>0.73194392410605025</v>
      </c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>
        <v>0.01</v>
      </c>
      <c r="AX4" s="96">
        <v>1.06</v>
      </c>
      <c r="AY4" s="96">
        <v>9.06</v>
      </c>
      <c r="AZ4" s="96">
        <v>4.05</v>
      </c>
      <c r="BA4" s="96">
        <v>21.5</v>
      </c>
      <c r="BB4" s="96">
        <v>0.21</v>
      </c>
      <c r="BC4" s="96">
        <v>7.91</v>
      </c>
      <c r="BD4" s="96">
        <v>0.96</v>
      </c>
      <c r="BE4" s="96">
        <v>0.13</v>
      </c>
      <c r="BF4" s="96">
        <v>10.4</v>
      </c>
      <c r="BG4" s="96">
        <v>0.06</v>
      </c>
      <c r="BH4" s="96">
        <v>0</v>
      </c>
      <c r="BI4" s="96">
        <v>0.04</v>
      </c>
      <c r="BJ4" s="96">
        <v>41.31</v>
      </c>
      <c r="BK4" s="96">
        <v>96.7</v>
      </c>
      <c r="BM4" s="98">
        <v>0.1</v>
      </c>
      <c r="BN4" s="98">
        <v>0.11</v>
      </c>
      <c r="BO4" s="98">
        <v>0.2</v>
      </c>
      <c r="BP4" s="98">
        <v>0.11</v>
      </c>
      <c r="BQ4" s="98">
        <v>0.28999999999999998</v>
      </c>
      <c r="BR4" s="98">
        <v>0.03</v>
      </c>
      <c r="BS4" s="98">
        <v>0.16</v>
      </c>
      <c r="BT4" s="98">
        <v>0.05</v>
      </c>
      <c r="BU4" s="98">
        <v>0.06</v>
      </c>
      <c r="BV4" s="98">
        <v>0.34</v>
      </c>
      <c r="BW4" s="98">
        <v>0.02</v>
      </c>
      <c r="BX4" s="98">
        <v>0.01</v>
      </c>
      <c r="BY4" s="98">
        <v>0.03</v>
      </c>
    </row>
    <row r="5" spans="1:77" ht="14" customHeight="1">
      <c r="A5" s="2" t="s">
        <v>1256</v>
      </c>
      <c r="B5" s="96">
        <v>46.17</v>
      </c>
      <c r="C5" s="96">
        <v>1.57</v>
      </c>
      <c r="D5" s="96">
        <v>7.39</v>
      </c>
      <c r="E5" s="96">
        <v>0.03</v>
      </c>
      <c r="F5" s="96">
        <v>13.61</v>
      </c>
      <c r="G5" s="96">
        <v>0.15</v>
      </c>
      <c r="H5" s="96">
        <v>14.74</v>
      </c>
      <c r="I5" s="96">
        <v>11.02</v>
      </c>
      <c r="J5" s="96">
        <v>1.43</v>
      </c>
      <c r="K5" s="96">
        <v>0.23</v>
      </c>
      <c r="L5" s="96">
        <v>-0.03</v>
      </c>
      <c r="M5" s="96">
        <v>0.11</v>
      </c>
      <c r="N5" s="96">
        <v>0.03</v>
      </c>
      <c r="O5" s="96">
        <v>0.01</v>
      </c>
      <c r="P5" s="96">
        <v>96.45</v>
      </c>
      <c r="Q5" s="96"/>
      <c r="R5" s="99">
        <v>833.54850825431072</v>
      </c>
      <c r="S5" s="99">
        <v>22</v>
      </c>
      <c r="T5" s="96">
        <v>1.7771570251608777</v>
      </c>
      <c r="U5" s="96">
        <f t="shared" si="1"/>
        <v>2.4671570251608776</v>
      </c>
      <c r="V5" s="96">
        <v>-11.385897408985564</v>
      </c>
      <c r="W5" s="96">
        <v>0.4</v>
      </c>
      <c r="X5" s="96">
        <v>1.2641396959289357</v>
      </c>
      <c r="Y5" s="96">
        <f t="shared" si="0"/>
        <v>2.5084891643216629</v>
      </c>
      <c r="Z5" s="96">
        <f t="shared" si="2"/>
        <v>0.40135826629146609</v>
      </c>
      <c r="AA5" s="96" t="s">
        <v>1253</v>
      </c>
      <c r="AB5" s="96" t="s">
        <v>1254</v>
      </c>
      <c r="AC5" s="96">
        <v>6.7012490449380042</v>
      </c>
      <c r="AD5" s="96">
        <v>0.85584049493569636</v>
      </c>
      <c r="AE5" s="96" t="s">
        <v>1254</v>
      </c>
      <c r="AF5" s="96">
        <v>0.67480470536213788</v>
      </c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>
        <v>-0.03</v>
      </c>
      <c r="AX5" s="96">
        <v>1.06</v>
      </c>
      <c r="AY5" s="96">
        <v>8.89</v>
      </c>
      <c r="AZ5" s="96">
        <v>3.91</v>
      </c>
      <c r="BA5" s="96">
        <v>21.58</v>
      </c>
      <c r="BB5" s="96">
        <v>0.19</v>
      </c>
      <c r="BC5" s="96">
        <v>7.87</v>
      </c>
      <c r="BD5" s="96">
        <v>0.94</v>
      </c>
      <c r="BE5" s="96">
        <v>0.12</v>
      </c>
      <c r="BF5" s="96">
        <v>10.58</v>
      </c>
      <c r="BG5" s="96">
        <v>0.11</v>
      </c>
      <c r="BH5" s="96">
        <v>0</v>
      </c>
      <c r="BI5" s="96">
        <v>0.02</v>
      </c>
      <c r="BJ5" s="96">
        <v>41.18</v>
      </c>
      <c r="BK5" s="96">
        <v>96.42</v>
      </c>
      <c r="BM5" s="98">
        <v>0.1</v>
      </c>
      <c r="BN5" s="98">
        <v>0.11</v>
      </c>
      <c r="BO5" s="98">
        <v>0.2</v>
      </c>
      <c r="BP5" s="98">
        <v>0.11</v>
      </c>
      <c r="BQ5" s="98">
        <v>0.28999999999999998</v>
      </c>
      <c r="BR5" s="98">
        <v>0.03</v>
      </c>
      <c r="BS5" s="98">
        <v>0.16</v>
      </c>
      <c r="BT5" s="98">
        <v>0.05</v>
      </c>
      <c r="BU5" s="98">
        <v>0.06</v>
      </c>
      <c r="BV5" s="98">
        <v>0.34</v>
      </c>
      <c r="BW5" s="98">
        <v>0.02</v>
      </c>
      <c r="BX5" s="98">
        <v>0.01</v>
      </c>
      <c r="BY5" s="98">
        <v>0.03</v>
      </c>
    </row>
    <row r="6" spans="1:77" ht="14" customHeight="1">
      <c r="A6" s="2" t="s">
        <v>1257</v>
      </c>
      <c r="B6" s="96">
        <v>46.44</v>
      </c>
      <c r="C6" s="96">
        <v>1.64</v>
      </c>
      <c r="D6" s="96">
        <v>7.79</v>
      </c>
      <c r="E6" s="96">
        <v>0.02</v>
      </c>
      <c r="F6" s="96">
        <v>13.23</v>
      </c>
      <c r="G6" s="96">
        <v>0.2</v>
      </c>
      <c r="H6" s="96">
        <v>15.18</v>
      </c>
      <c r="I6" s="96">
        <v>11.11</v>
      </c>
      <c r="J6" s="96">
        <v>1.39</v>
      </c>
      <c r="K6" s="96">
        <v>0.22</v>
      </c>
      <c r="L6" s="96">
        <v>-0.09</v>
      </c>
      <c r="M6" s="96">
        <v>0.06</v>
      </c>
      <c r="N6" s="96">
        <v>0.02</v>
      </c>
      <c r="O6" s="96">
        <v>0</v>
      </c>
      <c r="P6" s="96">
        <v>97.28</v>
      </c>
      <c r="Q6" s="96"/>
      <c r="R6" s="99">
        <v>841.88279996100482</v>
      </c>
      <c r="S6" s="99">
        <v>22</v>
      </c>
      <c r="T6" s="96">
        <v>1.8505130471486684</v>
      </c>
      <c r="U6" s="96">
        <f t="shared" si="1"/>
        <v>2.5405130471486683</v>
      </c>
      <c r="V6" s="96">
        <v>-11.144039424470291</v>
      </c>
      <c r="W6" s="96">
        <v>0.4</v>
      </c>
      <c r="X6" s="96">
        <v>1.31542979467442</v>
      </c>
      <c r="Y6" s="96">
        <f t="shared" si="0"/>
        <v>2.6571110290308342</v>
      </c>
      <c r="Z6" s="96">
        <f t="shared" si="2"/>
        <v>0.42513776464493347</v>
      </c>
      <c r="AA6" s="96" t="s">
        <v>1253</v>
      </c>
      <c r="AB6" s="96" t="s">
        <v>1254</v>
      </c>
      <c r="AC6" s="96">
        <v>6.6537684126801464</v>
      </c>
      <c r="AD6" s="96">
        <v>0.88989230194375279</v>
      </c>
      <c r="AE6" s="96" t="s">
        <v>1254</v>
      </c>
      <c r="AF6" s="96">
        <v>0.74692653897869343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>
        <v>-0.09</v>
      </c>
      <c r="AX6" s="96">
        <v>1.03</v>
      </c>
      <c r="AY6" s="96">
        <v>9.16</v>
      </c>
      <c r="AZ6" s="96">
        <v>4.12</v>
      </c>
      <c r="BA6" s="96">
        <v>21.71</v>
      </c>
      <c r="BB6" s="96">
        <v>0.18</v>
      </c>
      <c r="BC6" s="96">
        <v>7.94</v>
      </c>
      <c r="BD6" s="96">
        <v>0.98</v>
      </c>
      <c r="BE6" s="96">
        <v>0.15</v>
      </c>
      <c r="BF6" s="96">
        <v>10.28</v>
      </c>
      <c r="BG6" s="96">
        <v>0.06</v>
      </c>
      <c r="BH6" s="96">
        <v>0</v>
      </c>
      <c r="BI6" s="96">
        <v>0.01</v>
      </c>
      <c r="BJ6" s="96">
        <v>41.65</v>
      </c>
      <c r="BK6" s="96">
        <v>97.19</v>
      </c>
      <c r="BM6" s="98">
        <v>0.1</v>
      </c>
      <c r="BN6" s="98">
        <v>0.1</v>
      </c>
      <c r="BO6" s="98">
        <v>0.2</v>
      </c>
      <c r="BP6" s="98">
        <v>0.11</v>
      </c>
      <c r="BQ6" s="98">
        <v>0.28999999999999998</v>
      </c>
      <c r="BR6" s="98">
        <v>0.03</v>
      </c>
      <c r="BS6" s="98">
        <v>0.16</v>
      </c>
      <c r="BT6" s="98">
        <v>0.05</v>
      </c>
      <c r="BU6" s="98">
        <v>0.06</v>
      </c>
      <c r="BV6" s="98">
        <v>0.34</v>
      </c>
      <c r="BW6" s="98">
        <v>0.02</v>
      </c>
      <c r="BX6" s="98">
        <v>0.02</v>
      </c>
      <c r="BY6" s="98">
        <v>0.03</v>
      </c>
    </row>
    <row r="7" spans="1:77" ht="14" customHeight="1">
      <c r="A7" s="2" t="s">
        <v>1258</v>
      </c>
      <c r="B7" s="96">
        <v>46.29</v>
      </c>
      <c r="C7" s="96">
        <v>1.66</v>
      </c>
      <c r="D7" s="96">
        <v>7.47</v>
      </c>
      <c r="E7" s="96">
        <v>0.01</v>
      </c>
      <c r="F7" s="96">
        <v>13.48</v>
      </c>
      <c r="G7" s="96">
        <v>0.16</v>
      </c>
      <c r="H7" s="96">
        <v>15.12</v>
      </c>
      <c r="I7" s="96">
        <v>11.12</v>
      </c>
      <c r="J7" s="96">
        <v>1.43</v>
      </c>
      <c r="K7" s="96">
        <v>0.21</v>
      </c>
      <c r="L7" s="96">
        <v>-0.04</v>
      </c>
      <c r="M7" s="96">
        <v>7.0000000000000007E-2</v>
      </c>
      <c r="N7" s="96">
        <v>0.01</v>
      </c>
      <c r="O7" s="96">
        <v>0.02</v>
      </c>
      <c r="P7" s="96">
        <v>97.05</v>
      </c>
      <c r="Q7" s="96"/>
      <c r="R7" s="99">
        <v>849.72841528493041</v>
      </c>
      <c r="S7" s="99">
        <v>22</v>
      </c>
      <c r="T7" s="96">
        <v>1.922181552381395</v>
      </c>
      <c r="U7" s="96">
        <f t="shared" si="1"/>
        <v>2.6121815523813949</v>
      </c>
      <c r="V7" s="96">
        <v>-10.923030007009785</v>
      </c>
      <c r="W7" s="96">
        <v>0.4</v>
      </c>
      <c r="X7" s="96">
        <v>1.2674603930948247</v>
      </c>
      <c r="Y7" s="96">
        <f t="shared" si="0"/>
        <v>2.517952958938154</v>
      </c>
      <c r="Z7" s="96">
        <f t="shared" si="2"/>
        <v>0.40287247343010463</v>
      </c>
      <c r="AA7" s="96" t="s">
        <v>1253</v>
      </c>
      <c r="AB7" s="96" t="s">
        <v>1254</v>
      </c>
      <c r="AC7" s="96">
        <v>6.6641724832739797</v>
      </c>
      <c r="AD7" s="96">
        <v>0.87880746736020721</v>
      </c>
      <c r="AE7" s="96" t="s">
        <v>1254</v>
      </c>
      <c r="AF7" s="96">
        <v>0.72426082901405131</v>
      </c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>
        <v>-0.04</v>
      </c>
      <c r="AX7" s="96">
        <v>1.06</v>
      </c>
      <c r="AY7" s="96">
        <v>9.1199999999999992</v>
      </c>
      <c r="AZ7" s="96">
        <v>3.96</v>
      </c>
      <c r="BA7" s="96">
        <v>21.64</v>
      </c>
      <c r="BB7" s="96">
        <v>0.17</v>
      </c>
      <c r="BC7" s="96">
        <v>7.95</v>
      </c>
      <c r="BD7" s="96">
        <v>0.99</v>
      </c>
      <c r="BE7" s="96">
        <v>0.12</v>
      </c>
      <c r="BF7" s="96">
        <v>10.48</v>
      </c>
      <c r="BG7" s="96">
        <v>7.0000000000000007E-2</v>
      </c>
      <c r="BH7" s="96">
        <v>0.01</v>
      </c>
      <c r="BI7" s="96">
        <v>0.01</v>
      </c>
      <c r="BJ7" s="96">
        <v>41.47</v>
      </c>
      <c r="BK7" s="96">
        <v>97.01</v>
      </c>
      <c r="BM7" s="98">
        <v>0.09</v>
      </c>
      <c r="BN7" s="98">
        <v>0.11</v>
      </c>
      <c r="BO7" s="98">
        <v>0.2</v>
      </c>
      <c r="BP7" s="98">
        <v>0.11</v>
      </c>
      <c r="BQ7" s="98">
        <v>0.28999999999999998</v>
      </c>
      <c r="BR7" s="98">
        <v>0.03</v>
      </c>
      <c r="BS7" s="98">
        <v>0.16</v>
      </c>
      <c r="BT7" s="98">
        <v>0.05</v>
      </c>
      <c r="BU7" s="98">
        <v>7.0000000000000007E-2</v>
      </c>
      <c r="BV7" s="98">
        <v>0.34</v>
      </c>
      <c r="BW7" s="98">
        <v>0.02</v>
      </c>
      <c r="BX7" s="98">
        <v>0.01</v>
      </c>
      <c r="BY7" s="98">
        <v>0.03</v>
      </c>
    </row>
    <row r="8" spans="1:77" ht="14" customHeight="1">
      <c r="A8" s="2" t="s">
        <v>1259</v>
      </c>
      <c r="B8" s="96">
        <v>46.73</v>
      </c>
      <c r="C8" s="96">
        <v>1.63</v>
      </c>
      <c r="D8" s="96">
        <v>7.78</v>
      </c>
      <c r="E8" s="96">
        <v>0</v>
      </c>
      <c r="F8" s="96">
        <v>13.6</v>
      </c>
      <c r="G8" s="96">
        <v>0.15</v>
      </c>
      <c r="H8" s="96">
        <v>14.95</v>
      </c>
      <c r="I8" s="96">
        <v>11.04</v>
      </c>
      <c r="J8" s="96">
        <v>1.55</v>
      </c>
      <c r="K8" s="96">
        <v>0.21</v>
      </c>
      <c r="L8" s="96">
        <v>0.02</v>
      </c>
      <c r="M8" s="96">
        <v>0.06</v>
      </c>
      <c r="N8" s="96">
        <v>0</v>
      </c>
      <c r="O8" s="96">
        <v>0.02</v>
      </c>
      <c r="P8" s="96">
        <v>97.73</v>
      </c>
      <c r="Q8" s="96"/>
      <c r="R8" s="99">
        <v>829.80737876048966</v>
      </c>
      <c r="S8" s="99">
        <v>22</v>
      </c>
      <c r="T8" s="96">
        <v>1.6962187257511996</v>
      </c>
      <c r="U8" s="96">
        <f t="shared" si="1"/>
        <v>2.3862187257511995</v>
      </c>
      <c r="V8" s="96">
        <v>-11.538165052420194</v>
      </c>
      <c r="W8" s="96">
        <v>0.4</v>
      </c>
      <c r="X8" s="96">
        <v>1.3111533540108167</v>
      </c>
      <c r="Y8" s="96">
        <f t="shared" si="0"/>
        <v>2.6445192623227252</v>
      </c>
      <c r="Z8" s="96">
        <f t="shared" si="2"/>
        <v>0.42312308197163606</v>
      </c>
      <c r="AA8" s="96" t="s">
        <v>1253</v>
      </c>
      <c r="AB8" s="96" t="s">
        <v>1254</v>
      </c>
      <c r="AC8" s="96">
        <v>6.6821301057967357</v>
      </c>
      <c r="AD8" s="96">
        <v>0.8636441547490542</v>
      </c>
      <c r="AE8" s="96" t="s">
        <v>1254</v>
      </c>
      <c r="AF8" s="96">
        <v>0.69061756736928925</v>
      </c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>
        <v>0.02</v>
      </c>
      <c r="AX8" s="96">
        <v>1.1499999999999999</v>
      </c>
      <c r="AY8" s="96">
        <v>9.01</v>
      </c>
      <c r="AZ8" s="96">
        <v>4.12</v>
      </c>
      <c r="BA8" s="96">
        <v>21.84</v>
      </c>
      <c r="BB8" s="96">
        <v>0.17</v>
      </c>
      <c r="BC8" s="96">
        <v>7.89</v>
      </c>
      <c r="BD8" s="96">
        <v>0.98</v>
      </c>
      <c r="BE8" s="96">
        <v>0.11</v>
      </c>
      <c r="BF8" s="96">
        <v>10.57</v>
      </c>
      <c r="BG8" s="96">
        <v>0.06</v>
      </c>
      <c r="BH8" s="96">
        <v>0.01</v>
      </c>
      <c r="BI8" s="96">
        <v>0</v>
      </c>
      <c r="BJ8" s="96">
        <v>41.79</v>
      </c>
      <c r="BK8" s="96">
        <v>97.73</v>
      </c>
      <c r="BM8" s="98">
        <v>0.1</v>
      </c>
      <c r="BN8" s="98">
        <v>0.11</v>
      </c>
      <c r="BO8" s="98">
        <v>0.2</v>
      </c>
      <c r="BP8" s="98">
        <v>0.11</v>
      </c>
      <c r="BQ8" s="98">
        <v>0.28999999999999998</v>
      </c>
      <c r="BR8" s="98">
        <v>0.03</v>
      </c>
      <c r="BS8" s="98">
        <v>0.16</v>
      </c>
      <c r="BT8" s="98">
        <v>0.05</v>
      </c>
      <c r="BU8" s="98">
        <v>0.06</v>
      </c>
      <c r="BV8" s="98">
        <v>0.34</v>
      </c>
      <c r="BW8" s="98">
        <v>0.02</v>
      </c>
      <c r="BX8" s="98">
        <v>0.02</v>
      </c>
      <c r="BY8" s="98">
        <v>0.03</v>
      </c>
    </row>
    <row r="9" spans="1:77" ht="14" customHeight="1">
      <c r="A9" s="2" t="s">
        <v>1260</v>
      </c>
      <c r="B9" s="96">
        <v>46.33</v>
      </c>
      <c r="C9" s="96">
        <v>1.58</v>
      </c>
      <c r="D9" s="96">
        <v>7.4</v>
      </c>
      <c r="E9" s="96">
        <v>0.02</v>
      </c>
      <c r="F9" s="96">
        <v>13.86</v>
      </c>
      <c r="G9" s="96">
        <v>0.2</v>
      </c>
      <c r="H9" s="96">
        <v>14.87</v>
      </c>
      <c r="I9" s="96">
        <v>11.1</v>
      </c>
      <c r="J9" s="96">
        <v>1.47</v>
      </c>
      <c r="K9" s="96">
        <v>0.19</v>
      </c>
      <c r="L9" s="96">
        <v>-0.04</v>
      </c>
      <c r="M9" s="96">
        <v>0.05</v>
      </c>
      <c r="N9" s="96">
        <v>0.02</v>
      </c>
      <c r="O9" s="96">
        <v>0.01</v>
      </c>
      <c r="P9" s="96">
        <v>97.09</v>
      </c>
      <c r="Q9" s="96"/>
      <c r="R9" s="99">
        <v>844.40062010546308</v>
      </c>
      <c r="S9" s="99">
        <v>22</v>
      </c>
      <c r="T9" s="96">
        <v>1.8570661355109035</v>
      </c>
      <c r="U9" s="96">
        <f t="shared" si="1"/>
        <v>2.5470661355109034</v>
      </c>
      <c r="V9" s="96">
        <v>-11.092418192510365</v>
      </c>
      <c r="W9" s="96">
        <v>0.4</v>
      </c>
      <c r="X9" s="96">
        <v>1.2571951610623797</v>
      </c>
      <c r="Y9" s="96">
        <f t="shared" si="0"/>
        <v>2.4887685729453173</v>
      </c>
      <c r="Z9" s="96">
        <f t="shared" si="2"/>
        <v>0.39820297167125079</v>
      </c>
      <c r="AA9" s="96" t="s">
        <v>1253</v>
      </c>
      <c r="AB9" s="96" t="s">
        <v>1254</v>
      </c>
      <c r="AC9" s="96">
        <v>6.6784939110081201</v>
      </c>
      <c r="AD9" s="96">
        <v>0.86368820541378832</v>
      </c>
      <c r="AE9" s="96" t="s">
        <v>1254</v>
      </c>
      <c r="AF9" s="96">
        <v>0.69815872365871301</v>
      </c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>
        <v>-0.04</v>
      </c>
      <c r="AX9" s="96">
        <v>1.0900000000000001</v>
      </c>
      <c r="AY9" s="96">
        <v>8.9700000000000006</v>
      </c>
      <c r="AZ9" s="96">
        <v>3.92</v>
      </c>
      <c r="BA9" s="96">
        <v>21.66</v>
      </c>
      <c r="BB9" s="96">
        <v>0.16</v>
      </c>
      <c r="BC9" s="96">
        <v>7.93</v>
      </c>
      <c r="BD9" s="96">
        <v>0.95</v>
      </c>
      <c r="BE9" s="96">
        <v>0.15</v>
      </c>
      <c r="BF9" s="96">
        <v>10.77</v>
      </c>
      <c r="BG9" s="96">
        <v>0.05</v>
      </c>
      <c r="BH9" s="96">
        <v>0</v>
      </c>
      <c r="BI9" s="96">
        <v>0.01</v>
      </c>
      <c r="BJ9" s="96">
        <v>41.42</v>
      </c>
      <c r="BK9" s="96">
        <v>97.04</v>
      </c>
      <c r="BM9" s="98">
        <v>0.09</v>
      </c>
      <c r="BN9" s="98">
        <v>0.11</v>
      </c>
      <c r="BO9" s="98">
        <v>0.2</v>
      </c>
      <c r="BP9" s="98">
        <v>0.11</v>
      </c>
      <c r="BQ9" s="98">
        <v>0.28999999999999998</v>
      </c>
      <c r="BR9" s="98">
        <v>0.03</v>
      </c>
      <c r="BS9" s="98">
        <v>0.16</v>
      </c>
      <c r="BT9" s="98">
        <v>0.05</v>
      </c>
      <c r="BU9" s="98">
        <v>0.06</v>
      </c>
      <c r="BV9" s="98">
        <v>0.35</v>
      </c>
      <c r="BW9" s="98">
        <v>0.02</v>
      </c>
      <c r="BX9" s="98">
        <v>0.02</v>
      </c>
      <c r="BY9" s="98">
        <v>0.03</v>
      </c>
    </row>
    <row r="10" spans="1:77" ht="14" customHeight="1">
      <c r="A10" s="2" t="s">
        <v>1261</v>
      </c>
      <c r="B10" s="96">
        <v>46.52</v>
      </c>
      <c r="C10" s="96">
        <v>1.63</v>
      </c>
      <c r="D10" s="96">
        <v>7.74</v>
      </c>
      <c r="E10" s="96">
        <v>0.01</v>
      </c>
      <c r="F10" s="96">
        <v>13.45</v>
      </c>
      <c r="G10" s="96">
        <v>0.22</v>
      </c>
      <c r="H10" s="96">
        <v>14.84</v>
      </c>
      <c r="I10" s="96">
        <v>11.13</v>
      </c>
      <c r="J10" s="96">
        <v>1.56</v>
      </c>
      <c r="K10" s="96">
        <v>0.22</v>
      </c>
      <c r="L10" s="96">
        <v>-0.08</v>
      </c>
      <c r="M10" s="96">
        <v>0.05</v>
      </c>
      <c r="N10" s="96">
        <v>0.01</v>
      </c>
      <c r="O10" s="96">
        <v>0</v>
      </c>
      <c r="P10" s="96">
        <v>97.37</v>
      </c>
      <c r="Q10" s="96"/>
      <c r="R10" s="99">
        <v>830.67026009262645</v>
      </c>
      <c r="S10" s="99">
        <v>22</v>
      </c>
      <c r="T10" s="96">
        <v>1.6369621466834143</v>
      </c>
      <c r="U10" s="96">
        <f t="shared" si="1"/>
        <v>2.3269621466834143</v>
      </c>
      <c r="V10" s="96">
        <v>-11.580117836961188</v>
      </c>
      <c r="W10" s="96">
        <v>0.4</v>
      </c>
      <c r="X10" s="96">
        <v>1.3113267134376496</v>
      </c>
      <c r="Y10" s="96">
        <f t="shared" si="0"/>
        <v>2.645029002776174</v>
      </c>
      <c r="Z10" s="96">
        <f t="shared" si="2"/>
        <v>0.42320464044418787</v>
      </c>
      <c r="AA10" s="96" t="s">
        <v>1253</v>
      </c>
      <c r="AB10" s="96" t="s">
        <v>1254</v>
      </c>
      <c r="AC10" s="96">
        <v>6.6873631378822989</v>
      </c>
      <c r="AD10" s="96">
        <v>0.85024418269744584</v>
      </c>
      <c r="AE10" s="96" t="s">
        <v>1254</v>
      </c>
      <c r="AF10" s="96">
        <v>0.65357749891812966</v>
      </c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>
        <v>-0.08</v>
      </c>
      <c r="AX10" s="96">
        <v>1.1599999999999999</v>
      </c>
      <c r="AY10" s="96">
        <v>8.9499999999999993</v>
      </c>
      <c r="AZ10" s="96">
        <v>4.0999999999999996</v>
      </c>
      <c r="BA10" s="96">
        <v>21.74</v>
      </c>
      <c r="BB10" s="96">
        <v>0.19</v>
      </c>
      <c r="BC10" s="96">
        <v>7.95</v>
      </c>
      <c r="BD10" s="96">
        <v>0.98</v>
      </c>
      <c r="BE10" s="96">
        <v>0.17</v>
      </c>
      <c r="BF10" s="96">
        <v>10.45</v>
      </c>
      <c r="BG10" s="96">
        <v>0.05</v>
      </c>
      <c r="BH10" s="96">
        <v>0</v>
      </c>
      <c r="BI10" s="96">
        <v>0.01</v>
      </c>
      <c r="BJ10" s="96">
        <v>41.63</v>
      </c>
      <c r="BK10" s="96">
        <v>97.29</v>
      </c>
      <c r="BM10" s="98">
        <v>0.1</v>
      </c>
      <c r="BN10" s="98">
        <v>0.11</v>
      </c>
      <c r="BO10" s="98">
        <v>0.2</v>
      </c>
      <c r="BP10" s="98">
        <v>0.11</v>
      </c>
      <c r="BQ10" s="98">
        <v>0.28999999999999998</v>
      </c>
      <c r="BR10" s="98">
        <v>0.03</v>
      </c>
      <c r="BS10" s="98">
        <v>0.16</v>
      </c>
      <c r="BT10" s="98">
        <v>0.05</v>
      </c>
      <c r="BU10" s="98">
        <v>0.06</v>
      </c>
      <c r="BV10" s="98">
        <v>0.34</v>
      </c>
      <c r="BW10" s="98">
        <v>0.02</v>
      </c>
      <c r="BX10" s="98">
        <v>0.01</v>
      </c>
      <c r="BY10" s="98">
        <v>0.03</v>
      </c>
    </row>
    <row r="11" spans="1:77" ht="14" customHeight="1">
      <c r="A11" s="2" t="s">
        <v>1262</v>
      </c>
      <c r="B11" s="96">
        <v>45.49</v>
      </c>
      <c r="C11" s="96">
        <v>1.59</v>
      </c>
      <c r="D11" s="96">
        <v>7.37</v>
      </c>
      <c r="E11" s="96">
        <v>0.02</v>
      </c>
      <c r="F11" s="96">
        <v>13.25</v>
      </c>
      <c r="G11" s="96">
        <v>0.18</v>
      </c>
      <c r="H11" s="96">
        <v>14.89</v>
      </c>
      <c r="I11" s="96">
        <v>11.09</v>
      </c>
      <c r="J11" s="96">
        <v>1.48</v>
      </c>
      <c r="K11" s="96">
        <v>0.23</v>
      </c>
      <c r="L11" s="96">
        <v>0.01</v>
      </c>
      <c r="M11" s="96">
        <v>0.06</v>
      </c>
      <c r="N11" s="96">
        <v>0.02</v>
      </c>
      <c r="O11" s="96">
        <v>-0.01</v>
      </c>
      <c r="P11" s="96">
        <v>95.66</v>
      </c>
      <c r="Q11" s="96"/>
      <c r="R11" s="99">
        <v>854.78446227797986</v>
      </c>
      <c r="S11" s="99">
        <v>22</v>
      </c>
      <c r="T11" s="96">
        <v>1.8986207834217863</v>
      </c>
      <c r="U11" s="96">
        <f t="shared" si="1"/>
        <v>2.5886207834217863</v>
      </c>
      <c r="V11" s="96">
        <v>-10.848960813458753</v>
      </c>
      <c r="W11" s="96">
        <v>0.4</v>
      </c>
      <c r="X11" s="96">
        <v>1.2713425964445904</v>
      </c>
      <c r="Y11" s="96">
        <f t="shared" si="0"/>
        <v>2.5290448369699599</v>
      </c>
      <c r="Z11" s="96">
        <f t="shared" si="2"/>
        <v>0.40464717391519356</v>
      </c>
      <c r="AA11" s="96" t="s">
        <v>1253</v>
      </c>
      <c r="AB11" s="96" t="s">
        <v>1254</v>
      </c>
      <c r="AC11" s="96">
        <v>6.6581917823382772</v>
      </c>
      <c r="AD11" s="96">
        <v>0.86591249678498361</v>
      </c>
      <c r="AE11" s="96" t="s">
        <v>1254</v>
      </c>
      <c r="AF11" s="96">
        <v>0.68979588121544932</v>
      </c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>
        <v>0.01</v>
      </c>
      <c r="AX11" s="96">
        <v>1.1000000000000001</v>
      </c>
      <c r="AY11" s="96">
        <v>8.98</v>
      </c>
      <c r="AZ11" s="96">
        <v>3.9</v>
      </c>
      <c r="BA11" s="96">
        <v>21.26</v>
      </c>
      <c r="BB11" s="96">
        <v>0.19</v>
      </c>
      <c r="BC11" s="96">
        <v>7.93</v>
      </c>
      <c r="BD11" s="96">
        <v>0.95</v>
      </c>
      <c r="BE11" s="96">
        <v>0.14000000000000001</v>
      </c>
      <c r="BF11" s="96">
        <v>10.3</v>
      </c>
      <c r="BG11" s="96">
        <v>0.06</v>
      </c>
      <c r="BH11" s="96">
        <v>0</v>
      </c>
      <c r="BI11" s="96">
        <v>0.01</v>
      </c>
      <c r="BJ11" s="96">
        <v>40.82</v>
      </c>
      <c r="BK11" s="96">
        <v>95.65</v>
      </c>
      <c r="BM11" s="98">
        <v>0.1</v>
      </c>
      <c r="BN11" s="98">
        <v>0.11</v>
      </c>
      <c r="BO11" s="98">
        <v>0.2</v>
      </c>
      <c r="BP11" s="98">
        <v>0.11</v>
      </c>
      <c r="BQ11" s="98">
        <v>0.28999999999999998</v>
      </c>
      <c r="BR11" s="98">
        <v>0.03</v>
      </c>
      <c r="BS11" s="98">
        <v>0.16</v>
      </c>
      <c r="BT11" s="98">
        <v>0.05</v>
      </c>
      <c r="BU11" s="98">
        <v>0.06</v>
      </c>
      <c r="BV11" s="98">
        <v>0.34</v>
      </c>
      <c r="BW11" s="98">
        <v>0.02</v>
      </c>
      <c r="BX11" s="98">
        <v>0.01</v>
      </c>
      <c r="BY11" s="98">
        <v>0.03</v>
      </c>
    </row>
    <row r="12" spans="1:77" ht="14" customHeight="1">
      <c r="A12" s="2" t="s">
        <v>1263</v>
      </c>
      <c r="B12" s="96">
        <v>46.38</v>
      </c>
      <c r="C12" s="96">
        <v>1.59</v>
      </c>
      <c r="D12" s="96">
        <v>7.61</v>
      </c>
      <c r="E12" s="96">
        <v>0.03</v>
      </c>
      <c r="F12" s="96">
        <v>13.53</v>
      </c>
      <c r="G12" s="96">
        <v>0.18</v>
      </c>
      <c r="H12" s="96">
        <v>14.93</v>
      </c>
      <c r="I12" s="96">
        <v>10.98</v>
      </c>
      <c r="J12" s="96">
        <v>1.41</v>
      </c>
      <c r="K12" s="96">
        <v>0.22</v>
      </c>
      <c r="L12" s="96">
        <v>-0.09</v>
      </c>
      <c r="M12" s="96">
        <v>0.06</v>
      </c>
      <c r="N12" s="96">
        <v>0.03</v>
      </c>
      <c r="O12" s="96">
        <v>0</v>
      </c>
      <c r="P12" s="96">
        <v>96.91</v>
      </c>
      <c r="Q12" s="96"/>
      <c r="R12" s="99">
        <v>835.08954940950503</v>
      </c>
      <c r="S12" s="99">
        <v>22</v>
      </c>
      <c r="T12" s="96">
        <v>1.8175678902597729</v>
      </c>
      <c r="U12" s="96">
        <f t="shared" si="1"/>
        <v>2.5075678902597729</v>
      </c>
      <c r="V12" s="96">
        <v>-11.312875618119808</v>
      </c>
      <c r="W12" s="96">
        <v>0.4</v>
      </c>
      <c r="X12" s="96">
        <v>1.2913050522139453</v>
      </c>
      <c r="Y12" s="96">
        <f t="shared" si="0"/>
        <v>2.5865533664667097</v>
      </c>
      <c r="Z12" s="96">
        <f t="shared" si="2"/>
        <v>0.41384853863467358</v>
      </c>
      <c r="AA12" s="96" t="s">
        <v>1253</v>
      </c>
      <c r="AB12" s="96" t="s">
        <v>1254</v>
      </c>
      <c r="AC12" s="96">
        <v>6.6775967766973574</v>
      </c>
      <c r="AD12" s="96">
        <v>0.87811009709742682</v>
      </c>
      <c r="AE12" s="96" t="s">
        <v>1254</v>
      </c>
      <c r="AF12" s="96">
        <v>0.72695437953751818</v>
      </c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>
        <v>-0.09</v>
      </c>
      <c r="AX12" s="96">
        <v>1.04</v>
      </c>
      <c r="AY12" s="96">
        <v>9</v>
      </c>
      <c r="AZ12" s="96">
        <v>4.03</v>
      </c>
      <c r="BA12" s="96">
        <v>21.68</v>
      </c>
      <c r="BB12" s="96">
        <v>0.18</v>
      </c>
      <c r="BC12" s="96">
        <v>7.85</v>
      </c>
      <c r="BD12" s="96">
        <v>0.95</v>
      </c>
      <c r="BE12" s="96">
        <v>0.14000000000000001</v>
      </c>
      <c r="BF12" s="96">
        <v>10.52</v>
      </c>
      <c r="BG12" s="96">
        <v>0.06</v>
      </c>
      <c r="BH12" s="96">
        <v>0</v>
      </c>
      <c r="BI12" s="96">
        <v>0.02</v>
      </c>
      <c r="BJ12" s="96">
        <v>41.44</v>
      </c>
      <c r="BK12" s="96">
        <v>96.82</v>
      </c>
      <c r="BM12" s="98">
        <v>0.1</v>
      </c>
      <c r="BN12" s="98">
        <v>0.1</v>
      </c>
      <c r="BO12" s="98">
        <v>0.2</v>
      </c>
      <c r="BP12" s="98">
        <v>0.11</v>
      </c>
      <c r="BQ12" s="98">
        <v>0.28999999999999998</v>
      </c>
      <c r="BR12" s="98">
        <v>0.03</v>
      </c>
      <c r="BS12" s="98">
        <v>0.16</v>
      </c>
      <c r="BT12" s="98">
        <v>0.05</v>
      </c>
      <c r="BU12" s="98">
        <v>0.06</v>
      </c>
      <c r="BV12" s="98">
        <v>0.34</v>
      </c>
      <c r="BW12" s="98">
        <v>0.02</v>
      </c>
      <c r="BX12" s="98">
        <v>0.01</v>
      </c>
      <c r="BY12" s="98">
        <v>0.03</v>
      </c>
    </row>
    <row r="13" spans="1:77" s="29" customFormat="1" ht="14" customHeight="1"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60">
        <f>AVERAGE(R3:R12)</f>
        <v>840.77845471780506</v>
      </c>
      <c r="S13" s="160"/>
      <c r="T13" s="159">
        <f>AVERAGE(T3:T12)</f>
        <v>1.8116578267600769</v>
      </c>
      <c r="U13" s="159">
        <f>AVERAGE(U3:U12)</f>
        <v>2.5016578267600762</v>
      </c>
      <c r="V13" s="159">
        <f>AVERAGE(V3:V12)</f>
        <v>-11.207829809054719</v>
      </c>
      <c r="W13" s="159"/>
      <c r="X13" s="159"/>
      <c r="Y13" s="159">
        <f t="shared" ref="Y13" si="3">AVERAGE(Y3:Y12)</f>
        <v>2.5772229492046437</v>
      </c>
      <c r="Z13" s="96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</row>
    <row r="14" spans="1:77" s="29" customFormat="1" ht="14" customHeight="1"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60">
        <f>_xlfn.STDEV.S(R3:R12)</f>
        <v>8.7850857213170332</v>
      </c>
      <c r="S14" s="160"/>
      <c r="T14" s="159">
        <f>_xlfn.STDEV.S(T3:T12)</f>
        <v>9.1666141415211663E-2</v>
      </c>
      <c r="U14" s="159">
        <f>_xlfn.STDEV.S(U3:U12)</f>
        <v>9.1666141415211677E-2</v>
      </c>
      <c r="V14" s="159">
        <f>_xlfn.STDEV.S(V3:V12)</f>
        <v>0.25711141135807741</v>
      </c>
      <c r="W14" s="159"/>
      <c r="X14" s="159"/>
      <c r="Y14" s="159">
        <f t="shared" ref="Y14" si="4">_xlfn.STDEV.S(Y3:Y12)</f>
        <v>6.2962584901558483E-2</v>
      </c>
      <c r="Z14" s="96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</row>
    <row r="15" spans="1:77" ht="14" customHeight="1"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9"/>
      <c r="S15" s="99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</row>
    <row r="16" spans="1:77" ht="14" customHeight="1">
      <c r="A16" s="2" t="s">
        <v>1264</v>
      </c>
      <c r="B16" s="96">
        <v>46.33</v>
      </c>
      <c r="C16" s="96">
        <v>1.58</v>
      </c>
      <c r="D16" s="96">
        <v>7.41</v>
      </c>
      <c r="E16" s="96">
        <v>0.05</v>
      </c>
      <c r="F16" s="96">
        <v>13.97</v>
      </c>
      <c r="G16" s="96">
        <v>0.16</v>
      </c>
      <c r="H16" s="96">
        <v>14.87</v>
      </c>
      <c r="I16" s="96">
        <v>11.09</v>
      </c>
      <c r="J16" s="96">
        <v>1.44</v>
      </c>
      <c r="K16" s="96">
        <v>0.24</v>
      </c>
      <c r="L16" s="96">
        <v>-0.03</v>
      </c>
      <c r="M16" s="96">
        <v>0.06</v>
      </c>
      <c r="N16" s="96">
        <v>0.05</v>
      </c>
      <c r="O16" s="96">
        <v>0</v>
      </c>
      <c r="P16" s="96">
        <v>97.2</v>
      </c>
      <c r="Q16" s="96"/>
      <c r="R16" s="99">
        <v>846.23160485211315</v>
      </c>
      <c r="S16" s="99">
        <v>22</v>
      </c>
      <c r="T16" s="96">
        <v>1.8794011586038888</v>
      </c>
      <c r="U16" s="96">
        <f t="shared" si="1"/>
        <v>2.5694011586038887</v>
      </c>
      <c r="V16" s="96">
        <v>-11.034353598999688</v>
      </c>
      <c r="W16" s="96">
        <v>0.4</v>
      </c>
      <c r="X16" s="96">
        <v>1.2575886175698627</v>
      </c>
      <c r="Y16" s="96">
        <f t="shared" ref="Y16:Y27" si="5">0.5+0.331*X16+0.995*X16^2</f>
        <v>2.4898833178016968</v>
      </c>
      <c r="Z16" s="96">
        <f t="shared" si="2"/>
        <v>0.39838133084827149</v>
      </c>
      <c r="AA16" s="96" t="s">
        <v>1253</v>
      </c>
      <c r="AB16" s="96" t="s">
        <v>1254</v>
      </c>
      <c r="AC16" s="96">
        <v>6.6715684045033408</v>
      </c>
      <c r="AD16" s="96">
        <v>0.86477768607629657</v>
      </c>
      <c r="AE16" s="96" t="s">
        <v>1254</v>
      </c>
      <c r="AF16" s="96">
        <v>0.70330317795506159</v>
      </c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>
        <v>-0.03</v>
      </c>
      <c r="AX16" s="96">
        <v>1.07</v>
      </c>
      <c r="AY16" s="96">
        <v>8.9700000000000006</v>
      </c>
      <c r="AZ16" s="96">
        <v>3.92</v>
      </c>
      <c r="BA16" s="96">
        <v>21.65</v>
      </c>
      <c r="BB16" s="96">
        <v>0.2</v>
      </c>
      <c r="BC16" s="96">
        <v>7.93</v>
      </c>
      <c r="BD16" s="96">
        <v>0.95</v>
      </c>
      <c r="BE16" s="96">
        <v>0.12</v>
      </c>
      <c r="BF16" s="96">
        <v>10.86</v>
      </c>
      <c r="BG16" s="96">
        <v>0.06</v>
      </c>
      <c r="BH16" s="96">
        <v>0</v>
      </c>
      <c r="BI16" s="96">
        <v>0.03</v>
      </c>
      <c r="BJ16" s="96">
        <v>41.44</v>
      </c>
      <c r="BK16" s="96">
        <v>97.17</v>
      </c>
      <c r="BM16" s="98">
        <v>0.09</v>
      </c>
      <c r="BN16" s="98">
        <v>0.11</v>
      </c>
      <c r="BO16" s="98">
        <v>0.2</v>
      </c>
      <c r="BP16" s="98">
        <v>0.11</v>
      </c>
      <c r="BQ16" s="98">
        <v>0.28999999999999998</v>
      </c>
      <c r="BR16" s="98">
        <v>0.03</v>
      </c>
      <c r="BS16" s="98">
        <v>0.16</v>
      </c>
      <c r="BT16" s="98">
        <v>0.05</v>
      </c>
      <c r="BU16" s="98">
        <v>0.06</v>
      </c>
      <c r="BV16" s="98">
        <v>0.35</v>
      </c>
      <c r="BW16" s="98">
        <v>0.02</v>
      </c>
      <c r="BX16" s="98">
        <v>0.01</v>
      </c>
      <c r="BY16" s="98">
        <v>0.03</v>
      </c>
    </row>
    <row r="17" spans="1:77" ht="14" customHeight="1">
      <c r="A17" s="2" t="s">
        <v>1265</v>
      </c>
      <c r="B17" s="96">
        <v>46.36</v>
      </c>
      <c r="C17" s="96">
        <v>1.65</v>
      </c>
      <c r="D17" s="96">
        <v>7.75</v>
      </c>
      <c r="E17" s="96">
        <v>0.05</v>
      </c>
      <c r="F17" s="96">
        <v>13.89</v>
      </c>
      <c r="G17" s="96">
        <v>0.16</v>
      </c>
      <c r="H17" s="96">
        <v>14.78</v>
      </c>
      <c r="I17" s="96">
        <v>11.02</v>
      </c>
      <c r="J17" s="96">
        <v>1.5</v>
      </c>
      <c r="K17" s="96">
        <v>0.21</v>
      </c>
      <c r="L17" s="96">
        <v>-0.03</v>
      </c>
      <c r="M17" s="96">
        <v>7.0000000000000007E-2</v>
      </c>
      <c r="N17" s="96">
        <v>0.05</v>
      </c>
      <c r="O17" s="96">
        <v>0.01</v>
      </c>
      <c r="P17" s="96">
        <v>97.47</v>
      </c>
      <c r="Q17" s="96"/>
      <c r="R17" s="99">
        <v>839.34443871651115</v>
      </c>
      <c r="S17" s="99">
        <v>22</v>
      </c>
      <c r="T17" s="96">
        <v>1.7329996787609474</v>
      </c>
      <c r="U17" s="96">
        <f t="shared" si="1"/>
        <v>2.4229996787609474</v>
      </c>
      <c r="V17" s="96">
        <v>-11.311782341030973</v>
      </c>
      <c r="W17" s="96">
        <v>0.4</v>
      </c>
      <c r="X17" s="96">
        <v>1.3111918620208294</v>
      </c>
      <c r="Y17" s="96">
        <f t="shared" si="5"/>
        <v>2.6446324848633957</v>
      </c>
      <c r="Z17" s="96">
        <f t="shared" si="2"/>
        <v>0.42314119757814334</v>
      </c>
      <c r="AA17" s="96" t="s">
        <v>1253</v>
      </c>
      <c r="AB17" s="96" t="s">
        <v>1254</v>
      </c>
      <c r="AC17" s="96">
        <v>6.6550791198139025</v>
      </c>
      <c r="AD17" s="96">
        <v>0.86430777940311421</v>
      </c>
      <c r="AE17" s="96" t="s">
        <v>1254</v>
      </c>
      <c r="AF17" s="96">
        <v>0.70220790856158</v>
      </c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>
        <v>-0.03</v>
      </c>
      <c r="AX17" s="96">
        <v>1.1100000000000001</v>
      </c>
      <c r="AY17" s="96">
        <v>8.92</v>
      </c>
      <c r="AZ17" s="96">
        <v>4.0999999999999996</v>
      </c>
      <c r="BA17" s="96">
        <v>21.67</v>
      </c>
      <c r="BB17" s="96">
        <v>0.18</v>
      </c>
      <c r="BC17" s="96">
        <v>7.88</v>
      </c>
      <c r="BD17" s="96">
        <v>0.99</v>
      </c>
      <c r="BE17" s="96">
        <v>0.13</v>
      </c>
      <c r="BF17" s="96">
        <v>10.8</v>
      </c>
      <c r="BG17" s="96">
        <v>7.0000000000000007E-2</v>
      </c>
      <c r="BH17" s="96">
        <v>0.01</v>
      </c>
      <c r="BI17" s="96">
        <v>0.03</v>
      </c>
      <c r="BJ17" s="96">
        <v>41.59</v>
      </c>
      <c r="BK17" s="96">
        <v>97.43</v>
      </c>
      <c r="BM17" s="98">
        <v>0.1</v>
      </c>
      <c r="BN17" s="98">
        <v>0.11</v>
      </c>
      <c r="BO17" s="98">
        <v>0.2</v>
      </c>
      <c r="BP17" s="98">
        <v>0.11</v>
      </c>
      <c r="BQ17" s="98">
        <v>0.28999999999999998</v>
      </c>
      <c r="BR17" s="98">
        <v>0.03</v>
      </c>
      <c r="BS17" s="98">
        <v>0.16</v>
      </c>
      <c r="BT17" s="98">
        <v>0.05</v>
      </c>
      <c r="BU17" s="98">
        <v>0.06</v>
      </c>
      <c r="BV17" s="98">
        <v>0.35</v>
      </c>
      <c r="BW17" s="98">
        <v>0.02</v>
      </c>
      <c r="BX17" s="98">
        <v>0.01</v>
      </c>
      <c r="BY17" s="98">
        <v>0.03</v>
      </c>
    </row>
    <row r="18" spans="1:77" ht="14" customHeight="1">
      <c r="A18" s="2" t="s">
        <v>1266</v>
      </c>
      <c r="B18" s="96">
        <v>46.03</v>
      </c>
      <c r="C18" s="96">
        <v>1.54</v>
      </c>
      <c r="D18" s="96">
        <v>7.49</v>
      </c>
      <c r="E18" s="96">
        <v>0</v>
      </c>
      <c r="F18" s="96">
        <v>13.67</v>
      </c>
      <c r="G18" s="96">
        <v>0.18</v>
      </c>
      <c r="H18" s="96">
        <v>14.91</v>
      </c>
      <c r="I18" s="96">
        <v>11.04</v>
      </c>
      <c r="J18" s="96">
        <v>1.48</v>
      </c>
      <c r="K18" s="96">
        <v>0.2</v>
      </c>
      <c r="L18" s="96">
        <v>-0.03</v>
      </c>
      <c r="M18" s="96">
        <v>0.09</v>
      </c>
      <c r="N18" s="96">
        <v>0</v>
      </c>
      <c r="O18" s="96">
        <v>0</v>
      </c>
      <c r="P18" s="96">
        <v>96.63</v>
      </c>
      <c r="Q18" s="96"/>
      <c r="R18" s="99">
        <v>847.03375011600929</v>
      </c>
      <c r="S18" s="99">
        <v>22</v>
      </c>
      <c r="T18" s="96">
        <v>1.8881118188493682</v>
      </c>
      <c r="U18" s="96">
        <f t="shared" si="1"/>
        <v>2.5781118188493681</v>
      </c>
      <c r="V18" s="96">
        <v>-11.008639278053383</v>
      </c>
      <c r="W18" s="96">
        <v>0.4</v>
      </c>
      <c r="X18" s="96">
        <v>1.2775287937519706</v>
      </c>
      <c r="Y18" s="96">
        <f t="shared" si="5"/>
        <v>2.54678145050294</v>
      </c>
      <c r="Z18" s="96">
        <f t="shared" si="2"/>
        <v>0.40748503208047043</v>
      </c>
      <c r="AA18" s="96" t="s">
        <v>1253</v>
      </c>
      <c r="AB18" s="96" t="s">
        <v>1254</v>
      </c>
      <c r="AC18" s="96">
        <v>6.6615471728859159</v>
      </c>
      <c r="AD18" s="96">
        <v>0.87342520682261426</v>
      </c>
      <c r="AE18" s="96" t="s">
        <v>1254</v>
      </c>
      <c r="AF18" s="96">
        <v>0.7182362765850977</v>
      </c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>
        <v>-0.03</v>
      </c>
      <c r="AX18" s="96">
        <v>1.1000000000000001</v>
      </c>
      <c r="AY18" s="96">
        <v>8.99</v>
      </c>
      <c r="AZ18" s="96">
        <v>3.96</v>
      </c>
      <c r="BA18" s="96">
        <v>21.51</v>
      </c>
      <c r="BB18" s="96">
        <v>0.17</v>
      </c>
      <c r="BC18" s="96">
        <v>7.89</v>
      </c>
      <c r="BD18" s="96">
        <v>0.92</v>
      </c>
      <c r="BE18" s="96">
        <v>0.14000000000000001</v>
      </c>
      <c r="BF18" s="96">
        <v>10.63</v>
      </c>
      <c r="BG18" s="96">
        <v>0.09</v>
      </c>
      <c r="BH18" s="96">
        <v>0</v>
      </c>
      <c r="BI18" s="96">
        <v>0</v>
      </c>
      <c r="BJ18" s="96">
        <v>41.22</v>
      </c>
      <c r="BK18" s="96">
        <v>96.6</v>
      </c>
      <c r="BM18" s="98">
        <v>0.1</v>
      </c>
      <c r="BN18" s="98">
        <v>0.11</v>
      </c>
      <c r="BO18" s="98">
        <v>0.2</v>
      </c>
      <c r="BP18" s="98">
        <v>0.11</v>
      </c>
      <c r="BQ18" s="98">
        <v>0.28999999999999998</v>
      </c>
      <c r="BR18" s="98">
        <v>0.03</v>
      </c>
      <c r="BS18" s="98">
        <v>0.16</v>
      </c>
      <c r="BT18" s="98">
        <v>0.05</v>
      </c>
      <c r="BU18" s="98">
        <v>0.06</v>
      </c>
      <c r="BV18" s="98">
        <v>0.34</v>
      </c>
      <c r="BW18" s="98">
        <v>0.02</v>
      </c>
      <c r="BX18" s="98">
        <v>0.01</v>
      </c>
      <c r="BY18" s="98">
        <v>0.03</v>
      </c>
    </row>
    <row r="19" spans="1:77" ht="14" customHeight="1">
      <c r="A19" s="2" t="s">
        <v>1267</v>
      </c>
      <c r="B19" s="96">
        <v>45.36</v>
      </c>
      <c r="C19" s="96">
        <v>1.54</v>
      </c>
      <c r="D19" s="96">
        <v>7.28</v>
      </c>
      <c r="E19" s="96">
        <v>0.02</v>
      </c>
      <c r="F19" s="96">
        <v>13.52</v>
      </c>
      <c r="G19" s="96">
        <v>0.2</v>
      </c>
      <c r="H19" s="96">
        <v>14.94</v>
      </c>
      <c r="I19" s="96">
        <v>11.04</v>
      </c>
      <c r="J19" s="96">
        <v>1.51</v>
      </c>
      <c r="K19" s="96">
        <v>0.2</v>
      </c>
      <c r="L19" s="96">
        <v>-0.08</v>
      </c>
      <c r="M19" s="96">
        <v>0.04</v>
      </c>
      <c r="N19" s="96">
        <v>0.02</v>
      </c>
      <c r="O19" s="96">
        <v>0</v>
      </c>
      <c r="P19" s="96">
        <v>95.66</v>
      </c>
      <c r="Q19" s="96"/>
      <c r="R19" s="99">
        <v>866.09586395395309</v>
      </c>
      <c r="S19" s="99">
        <v>22</v>
      </c>
      <c r="T19" s="96">
        <v>2.030483852350967</v>
      </c>
      <c r="U19" s="96">
        <f t="shared" si="1"/>
        <v>2.7204838523509669</v>
      </c>
      <c r="V19" s="96">
        <v>-10.503562986269044</v>
      </c>
      <c r="W19" s="96">
        <v>0.4</v>
      </c>
      <c r="X19" s="96">
        <v>1.2552011464582329</v>
      </c>
      <c r="Y19" s="96">
        <f t="shared" si="5"/>
        <v>2.4831238479573869</v>
      </c>
      <c r="Z19" s="96">
        <f t="shared" si="2"/>
        <v>0.3972998156731819</v>
      </c>
      <c r="AA19" s="96" t="s">
        <v>1253</v>
      </c>
      <c r="AB19" s="96" t="s">
        <v>1254</v>
      </c>
      <c r="AC19" s="96">
        <v>6.635906328330246</v>
      </c>
      <c r="AD19" s="96">
        <v>0.87894407286536425</v>
      </c>
      <c r="AE19" s="96" t="s">
        <v>1254</v>
      </c>
      <c r="AF19" s="96">
        <v>0.72869789335453883</v>
      </c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>
        <v>-0.08</v>
      </c>
      <c r="AX19" s="96">
        <v>1.1200000000000001</v>
      </c>
      <c r="AY19" s="96">
        <v>9.01</v>
      </c>
      <c r="AZ19" s="96">
        <v>3.86</v>
      </c>
      <c r="BA19" s="96">
        <v>21.2</v>
      </c>
      <c r="BB19" s="96">
        <v>0.17</v>
      </c>
      <c r="BC19" s="96">
        <v>7.89</v>
      </c>
      <c r="BD19" s="96">
        <v>0.92</v>
      </c>
      <c r="BE19" s="96">
        <v>0.16</v>
      </c>
      <c r="BF19" s="96">
        <v>10.51</v>
      </c>
      <c r="BG19" s="96">
        <v>0.04</v>
      </c>
      <c r="BH19" s="96">
        <v>0</v>
      </c>
      <c r="BI19" s="96">
        <v>0.02</v>
      </c>
      <c r="BJ19" s="96">
        <v>40.770000000000003</v>
      </c>
      <c r="BK19" s="96">
        <v>95.58</v>
      </c>
      <c r="BM19" s="98">
        <v>0.1</v>
      </c>
      <c r="BN19" s="98">
        <v>0.11</v>
      </c>
      <c r="BO19" s="98">
        <v>0.2</v>
      </c>
      <c r="BP19" s="98">
        <v>0.11</v>
      </c>
      <c r="BQ19" s="98">
        <v>0.28000000000000003</v>
      </c>
      <c r="BR19" s="98">
        <v>0.03</v>
      </c>
      <c r="BS19" s="98">
        <v>0.16</v>
      </c>
      <c r="BT19" s="98">
        <v>0.05</v>
      </c>
      <c r="BU19" s="98">
        <v>0.06</v>
      </c>
      <c r="BV19" s="98">
        <v>0.34</v>
      </c>
      <c r="BW19" s="98">
        <v>0.02</v>
      </c>
      <c r="BX19" s="98">
        <v>0.02</v>
      </c>
      <c r="BY19" s="98">
        <v>0.03</v>
      </c>
    </row>
    <row r="20" spans="1:77" ht="14" customHeight="1">
      <c r="A20" s="2" t="s">
        <v>1268</v>
      </c>
      <c r="B20" s="96">
        <v>45.28</v>
      </c>
      <c r="C20" s="96">
        <v>1.57</v>
      </c>
      <c r="D20" s="96">
        <v>7.44</v>
      </c>
      <c r="E20" s="96">
        <v>0</v>
      </c>
      <c r="F20" s="96">
        <v>13.8</v>
      </c>
      <c r="G20" s="96">
        <v>0.22</v>
      </c>
      <c r="H20" s="96">
        <v>14.92</v>
      </c>
      <c r="I20" s="96">
        <v>11.11</v>
      </c>
      <c r="J20" s="96">
        <v>1.49</v>
      </c>
      <c r="K20" s="96">
        <v>0.2</v>
      </c>
      <c r="L20" s="96">
        <v>0.03</v>
      </c>
      <c r="M20" s="96">
        <v>0.05</v>
      </c>
      <c r="N20" s="96">
        <v>0</v>
      </c>
      <c r="O20" s="96">
        <v>0.01</v>
      </c>
      <c r="P20" s="96">
        <v>96.13</v>
      </c>
      <c r="Q20" s="96"/>
      <c r="R20" s="99">
        <v>875.01706707095718</v>
      </c>
      <c r="S20" s="99">
        <v>22</v>
      </c>
      <c r="T20" s="96">
        <v>2.0425960159533636</v>
      </c>
      <c r="U20" s="96">
        <f t="shared" si="1"/>
        <v>2.7325960159533635</v>
      </c>
      <c r="V20" s="96">
        <v>-10.323618561849617</v>
      </c>
      <c r="W20" s="96">
        <v>0.4</v>
      </c>
      <c r="X20" s="96">
        <v>1.2779471952962109</v>
      </c>
      <c r="Y20" s="96">
        <f t="shared" si="5"/>
        <v>2.5479838104386703</v>
      </c>
      <c r="Z20" s="96">
        <f t="shared" si="2"/>
        <v>0.40767740967018723</v>
      </c>
      <c r="AA20" s="96" t="s">
        <v>1253</v>
      </c>
      <c r="AB20" s="96" t="s">
        <v>1254</v>
      </c>
      <c r="AC20" s="96">
        <v>6.5992053841872158</v>
      </c>
      <c r="AD20" s="96">
        <v>0.88279838174344827</v>
      </c>
      <c r="AE20" s="96" t="s">
        <v>1254</v>
      </c>
      <c r="AF20" s="96">
        <v>0.74413183155328455</v>
      </c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>
        <v>0.03</v>
      </c>
      <c r="AX20" s="96">
        <v>1.1000000000000001</v>
      </c>
      <c r="AY20" s="96">
        <v>9</v>
      </c>
      <c r="AZ20" s="96">
        <v>3.94</v>
      </c>
      <c r="BA20" s="96">
        <v>21.17</v>
      </c>
      <c r="BB20" s="96">
        <v>0.16</v>
      </c>
      <c r="BC20" s="96">
        <v>7.94</v>
      </c>
      <c r="BD20" s="96">
        <v>0.94</v>
      </c>
      <c r="BE20" s="96">
        <v>0.17</v>
      </c>
      <c r="BF20" s="96">
        <v>10.73</v>
      </c>
      <c r="BG20" s="96">
        <v>0.05</v>
      </c>
      <c r="BH20" s="96">
        <v>0.01</v>
      </c>
      <c r="BI20" s="96">
        <v>0</v>
      </c>
      <c r="BJ20" s="96">
        <v>40.89</v>
      </c>
      <c r="BK20" s="96">
        <v>96.13</v>
      </c>
      <c r="BM20" s="98">
        <v>0.1</v>
      </c>
      <c r="BN20" s="98">
        <v>0.11</v>
      </c>
      <c r="BO20" s="98">
        <v>0.2</v>
      </c>
      <c r="BP20" s="98">
        <v>0.11</v>
      </c>
      <c r="BQ20" s="98">
        <v>0.28000000000000003</v>
      </c>
      <c r="BR20" s="98">
        <v>0.03</v>
      </c>
      <c r="BS20" s="98">
        <v>0.16</v>
      </c>
      <c r="BT20" s="98">
        <v>0.05</v>
      </c>
      <c r="BU20" s="98">
        <v>0.06</v>
      </c>
      <c r="BV20" s="98">
        <v>0.35</v>
      </c>
      <c r="BW20" s="98">
        <v>0.02</v>
      </c>
      <c r="BX20" s="98">
        <v>0.01</v>
      </c>
      <c r="BY20" s="98">
        <v>0.03</v>
      </c>
    </row>
    <row r="21" spans="1:77" ht="14" customHeight="1">
      <c r="A21" s="2" t="s">
        <v>1269</v>
      </c>
      <c r="B21" s="96">
        <v>45.24</v>
      </c>
      <c r="C21" s="96">
        <v>1.63</v>
      </c>
      <c r="D21" s="96">
        <v>7.64</v>
      </c>
      <c r="E21" s="96">
        <v>0</v>
      </c>
      <c r="F21" s="96">
        <v>13.76</v>
      </c>
      <c r="G21" s="96">
        <v>0.21</v>
      </c>
      <c r="H21" s="96">
        <v>14.68</v>
      </c>
      <c r="I21" s="96">
        <v>11.13</v>
      </c>
      <c r="J21" s="96">
        <v>1.45</v>
      </c>
      <c r="K21" s="96">
        <v>0.16</v>
      </c>
      <c r="L21" s="96">
        <v>0.05</v>
      </c>
      <c r="M21" s="96">
        <v>0.05</v>
      </c>
      <c r="N21" s="96">
        <v>0</v>
      </c>
      <c r="O21" s="96">
        <v>0</v>
      </c>
      <c r="P21" s="96">
        <v>96</v>
      </c>
      <c r="Q21" s="96"/>
      <c r="R21" s="99">
        <v>863.42417245679553</v>
      </c>
      <c r="S21" s="99">
        <v>22</v>
      </c>
      <c r="T21" s="96">
        <v>1.8567807759637072</v>
      </c>
      <c r="U21" s="96">
        <f t="shared" si="1"/>
        <v>2.5467807759637071</v>
      </c>
      <c r="V21" s="96">
        <v>-10.723358117790962</v>
      </c>
      <c r="W21" s="96">
        <v>0.4</v>
      </c>
      <c r="X21" s="96">
        <v>1.3146421323652238</v>
      </c>
      <c r="Y21" s="96">
        <f t="shared" si="5"/>
        <v>2.654789062321723</v>
      </c>
      <c r="Z21" s="96">
        <f t="shared" si="2"/>
        <v>0.42476624997147566</v>
      </c>
      <c r="AA21" s="96" t="s">
        <v>1253</v>
      </c>
      <c r="AB21" s="96" t="s">
        <v>1254</v>
      </c>
      <c r="AC21" s="96">
        <v>6.6051401564903562</v>
      </c>
      <c r="AD21" s="96">
        <v>0.86813579803712815</v>
      </c>
      <c r="AE21" s="96" t="s">
        <v>1254</v>
      </c>
      <c r="AF21" s="96">
        <v>0.71113075168993922</v>
      </c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>
        <v>0.05</v>
      </c>
      <c r="AX21" s="96">
        <v>1.08</v>
      </c>
      <c r="AY21" s="96">
        <v>8.85</v>
      </c>
      <c r="AZ21" s="96">
        <v>4.04</v>
      </c>
      <c r="BA21" s="96">
        <v>21.14</v>
      </c>
      <c r="BB21" s="96">
        <v>0.13</v>
      </c>
      <c r="BC21" s="96">
        <v>7.96</v>
      </c>
      <c r="BD21" s="96">
        <v>0.98</v>
      </c>
      <c r="BE21" s="96">
        <v>0.16</v>
      </c>
      <c r="BF21" s="96">
        <v>10.7</v>
      </c>
      <c r="BG21" s="96">
        <v>0.05</v>
      </c>
      <c r="BH21" s="96">
        <v>0</v>
      </c>
      <c r="BI21" s="96">
        <v>0</v>
      </c>
      <c r="BJ21" s="96">
        <v>40.86</v>
      </c>
      <c r="BK21" s="96">
        <v>96</v>
      </c>
      <c r="BM21" s="98">
        <v>0.1</v>
      </c>
      <c r="BN21" s="98">
        <v>0.11</v>
      </c>
      <c r="BO21" s="98">
        <v>0.2</v>
      </c>
      <c r="BP21" s="98">
        <v>0.11</v>
      </c>
      <c r="BQ21" s="98">
        <v>0.28000000000000003</v>
      </c>
      <c r="BR21" s="98">
        <v>0.03</v>
      </c>
      <c r="BS21" s="98">
        <v>0.16</v>
      </c>
      <c r="BT21" s="98">
        <v>0.05</v>
      </c>
      <c r="BU21" s="98">
        <v>0.06</v>
      </c>
      <c r="BV21" s="98">
        <v>0.35</v>
      </c>
      <c r="BW21" s="98">
        <v>0.02</v>
      </c>
      <c r="BX21" s="98">
        <v>0.02</v>
      </c>
      <c r="BY21" s="98">
        <v>0.03</v>
      </c>
    </row>
    <row r="22" spans="1:77" ht="14" customHeight="1">
      <c r="A22" s="2" t="s">
        <v>1270</v>
      </c>
      <c r="B22" s="96">
        <v>46.22</v>
      </c>
      <c r="C22" s="96">
        <v>1.55</v>
      </c>
      <c r="D22" s="96">
        <v>7.51</v>
      </c>
      <c r="E22" s="96">
        <v>0.01</v>
      </c>
      <c r="F22" s="96">
        <v>13.58</v>
      </c>
      <c r="G22" s="96">
        <v>0.25</v>
      </c>
      <c r="H22" s="96">
        <v>14.92</v>
      </c>
      <c r="I22" s="96">
        <v>11.13</v>
      </c>
      <c r="J22" s="96">
        <v>1.41</v>
      </c>
      <c r="K22" s="96">
        <v>0.16</v>
      </c>
      <c r="L22" s="96">
        <v>-0.05</v>
      </c>
      <c r="M22" s="96">
        <v>7.0000000000000007E-2</v>
      </c>
      <c r="N22" s="96">
        <v>0.01</v>
      </c>
      <c r="O22" s="96">
        <v>0.01</v>
      </c>
      <c r="P22" s="96">
        <v>96.81</v>
      </c>
      <c r="Q22" s="96"/>
      <c r="R22" s="99">
        <v>842.92762571183084</v>
      </c>
      <c r="S22" s="99">
        <v>22</v>
      </c>
      <c r="T22" s="96">
        <v>1.8565215301490179</v>
      </c>
      <c r="U22" s="96">
        <f t="shared" si="1"/>
        <v>2.5465215301490178</v>
      </c>
      <c r="V22" s="96">
        <v>-11.120326274485787</v>
      </c>
      <c r="W22" s="96">
        <v>0.4</v>
      </c>
      <c r="X22" s="96">
        <v>1.2776980321946019</v>
      </c>
      <c r="Y22" s="96">
        <f t="shared" si="5"/>
        <v>2.5472677488230016</v>
      </c>
      <c r="Z22" s="96">
        <f t="shared" si="2"/>
        <v>0.40756283981168023</v>
      </c>
      <c r="AA22" s="96" t="s">
        <v>1253</v>
      </c>
      <c r="AB22" s="96" t="s">
        <v>1254</v>
      </c>
      <c r="AC22" s="96">
        <v>6.6721143860431233</v>
      </c>
      <c r="AD22" s="96">
        <v>0.87326964748116065</v>
      </c>
      <c r="AE22" s="96" t="s">
        <v>1254</v>
      </c>
      <c r="AF22" s="96">
        <v>0.71577925439423007</v>
      </c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>
        <v>-0.05</v>
      </c>
      <c r="AX22" s="96">
        <v>1.04</v>
      </c>
      <c r="AY22" s="96">
        <v>9</v>
      </c>
      <c r="AZ22" s="96">
        <v>3.97</v>
      </c>
      <c r="BA22" s="96">
        <v>21.6</v>
      </c>
      <c r="BB22" s="96">
        <v>0.13</v>
      </c>
      <c r="BC22" s="96">
        <v>7.96</v>
      </c>
      <c r="BD22" s="96">
        <v>0.93</v>
      </c>
      <c r="BE22" s="96">
        <v>0.19</v>
      </c>
      <c r="BF22" s="96">
        <v>10.55</v>
      </c>
      <c r="BG22" s="96">
        <v>7.0000000000000007E-2</v>
      </c>
      <c r="BH22" s="96">
        <v>0</v>
      </c>
      <c r="BI22" s="96">
        <v>0.01</v>
      </c>
      <c r="BJ22" s="96">
        <v>41.35</v>
      </c>
      <c r="BK22" s="96">
        <v>96.76</v>
      </c>
      <c r="BM22" s="98">
        <v>0.1</v>
      </c>
      <c r="BN22" s="98">
        <v>0.1</v>
      </c>
      <c r="BO22" s="98">
        <v>0.2</v>
      </c>
      <c r="BP22" s="98">
        <v>0.11</v>
      </c>
      <c r="BQ22" s="98">
        <v>0.28999999999999998</v>
      </c>
      <c r="BR22" s="98">
        <v>0.03</v>
      </c>
      <c r="BS22" s="98">
        <v>0.16</v>
      </c>
      <c r="BT22" s="98">
        <v>0.05</v>
      </c>
      <c r="BU22" s="98">
        <v>7.0000000000000007E-2</v>
      </c>
      <c r="BV22" s="98">
        <v>0.34</v>
      </c>
      <c r="BW22" s="98">
        <v>0.02</v>
      </c>
      <c r="BX22" s="98">
        <v>0.02</v>
      </c>
      <c r="BY22" s="98">
        <v>0.03</v>
      </c>
    </row>
    <row r="23" spans="1:77" ht="14" customHeight="1">
      <c r="A23" s="2" t="s">
        <v>1271</v>
      </c>
      <c r="B23" s="96">
        <v>45.9</v>
      </c>
      <c r="C23" s="96">
        <v>1.66</v>
      </c>
      <c r="D23" s="96">
        <v>7.86</v>
      </c>
      <c r="E23" s="96">
        <v>0.01</v>
      </c>
      <c r="F23" s="96">
        <v>13.52</v>
      </c>
      <c r="G23" s="96">
        <v>0.14000000000000001</v>
      </c>
      <c r="H23" s="96">
        <v>15.14</v>
      </c>
      <c r="I23" s="96">
        <v>11.09</v>
      </c>
      <c r="J23" s="96">
        <v>1.62</v>
      </c>
      <c r="K23" s="96">
        <v>0.23</v>
      </c>
      <c r="L23" s="96">
        <v>-0.04</v>
      </c>
      <c r="M23" s="96">
        <v>0.08</v>
      </c>
      <c r="N23" s="96">
        <v>0.01</v>
      </c>
      <c r="O23" s="96">
        <v>0.01</v>
      </c>
      <c r="P23" s="96">
        <v>97.25</v>
      </c>
      <c r="Q23" s="96"/>
      <c r="R23" s="99">
        <v>862.53635167921857</v>
      </c>
      <c r="S23" s="99">
        <v>22</v>
      </c>
      <c r="T23" s="96">
        <v>1.8899922343975648</v>
      </c>
      <c r="U23" s="96">
        <f t="shared" si="1"/>
        <v>2.5799922343975648</v>
      </c>
      <c r="V23" s="96">
        <v>-10.705618321728142</v>
      </c>
      <c r="W23" s="96">
        <v>0.4</v>
      </c>
      <c r="X23" s="96">
        <v>1.3319224786737431</v>
      </c>
      <c r="Y23" s="96">
        <f t="shared" si="5"/>
        <v>2.706013742191435</v>
      </c>
      <c r="Z23" s="96">
        <f t="shared" si="2"/>
        <v>0.43296219875062958</v>
      </c>
      <c r="AA23" s="96" t="s">
        <v>1253</v>
      </c>
      <c r="AB23" s="96" t="s">
        <v>1253</v>
      </c>
      <c r="AC23" s="96">
        <v>6.5995502672696471</v>
      </c>
      <c r="AD23" s="96">
        <v>0.88361798751006171</v>
      </c>
      <c r="AE23" s="96" t="s">
        <v>1254</v>
      </c>
      <c r="AF23" s="96">
        <v>0.73707920180551034</v>
      </c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>
        <v>-0.04</v>
      </c>
      <c r="AX23" s="96">
        <v>1.2</v>
      </c>
      <c r="AY23" s="96">
        <v>9.1300000000000008</v>
      </c>
      <c r="AZ23" s="96">
        <v>4.16</v>
      </c>
      <c r="BA23" s="96">
        <v>21.45</v>
      </c>
      <c r="BB23" s="96">
        <v>0.19</v>
      </c>
      <c r="BC23" s="96">
        <v>7.92</v>
      </c>
      <c r="BD23" s="96">
        <v>1</v>
      </c>
      <c r="BE23" s="96">
        <v>0.1</v>
      </c>
      <c r="BF23" s="96">
        <v>10.51</v>
      </c>
      <c r="BG23" s="96">
        <v>0.08</v>
      </c>
      <c r="BH23" s="96">
        <v>0</v>
      </c>
      <c r="BI23" s="96">
        <v>0.01</v>
      </c>
      <c r="BJ23" s="96">
        <v>41.48</v>
      </c>
      <c r="BK23" s="96">
        <v>97.21</v>
      </c>
      <c r="BM23" s="98">
        <v>0.1</v>
      </c>
      <c r="BN23" s="98">
        <v>0.11</v>
      </c>
      <c r="BO23" s="98">
        <v>0.2</v>
      </c>
      <c r="BP23" s="98">
        <v>0.12</v>
      </c>
      <c r="BQ23" s="98">
        <v>0.28999999999999998</v>
      </c>
      <c r="BR23" s="98">
        <v>0.03</v>
      </c>
      <c r="BS23" s="98">
        <v>0.16</v>
      </c>
      <c r="BT23" s="98">
        <v>0.05</v>
      </c>
      <c r="BU23" s="98">
        <v>0.06</v>
      </c>
      <c r="BV23" s="98">
        <v>0.34</v>
      </c>
      <c r="BW23" s="98">
        <v>0.02</v>
      </c>
      <c r="BX23" s="98">
        <v>0.01</v>
      </c>
      <c r="BY23" s="98">
        <v>0.03</v>
      </c>
    </row>
    <row r="24" spans="1:77" ht="14" customHeight="1">
      <c r="A24" s="2" t="s">
        <v>1272</v>
      </c>
      <c r="B24" s="96">
        <v>45.74</v>
      </c>
      <c r="C24" s="96">
        <v>1.66</v>
      </c>
      <c r="D24" s="96">
        <v>7.7</v>
      </c>
      <c r="E24" s="96">
        <v>0</v>
      </c>
      <c r="F24" s="96">
        <v>13.44</v>
      </c>
      <c r="G24" s="96">
        <v>0.13</v>
      </c>
      <c r="H24" s="96">
        <v>14.83</v>
      </c>
      <c r="I24" s="96">
        <v>11.14</v>
      </c>
      <c r="J24" s="96">
        <v>1.57</v>
      </c>
      <c r="K24" s="96">
        <v>0.2</v>
      </c>
      <c r="L24" s="96">
        <v>-0.03</v>
      </c>
      <c r="M24" s="96">
        <v>7.0000000000000007E-2</v>
      </c>
      <c r="N24" s="96">
        <v>0</v>
      </c>
      <c r="O24" s="96">
        <v>-0.01</v>
      </c>
      <c r="P24" s="96">
        <v>96.51</v>
      </c>
      <c r="Q24" s="96"/>
      <c r="R24" s="99">
        <v>849.81691784592135</v>
      </c>
      <c r="S24" s="99">
        <v>22</v>
      </c>
      <c r="T24" s="96">
        <v>1.7448724453552433</v>
      </c>
      <c r="U24" s="96">
        <f t="shared" si="1"/>
        <v>2.4348724453552433</v>
      </c>
      <c r="V24" s="96">
        <v>-11.094968964502421</v>
      </c>
      <c r="W24" s="96">
        <v>0.4</v>
      </c>
      <c r="X24" s="96">
        <v>1.3178398152630992</v>
      </c>
      <c r="Y24" s="96">
        <f t="shared" si="5"/>
        <v>2.664223248651302</v>
      </c>
      <c r="Z24" s="96">
        <f t="shared" si="2"/>
        <v>0.42627571978420831</v>
      </c>
      <c r="AA24" s="96" t="s">
        <v>1253</v>
      </c>
      <c r="AB24" s="96" t="s">
        <v>1254</v>
      </c>
      <c r="AC24" s="96">
        <v>6.6422208686851709</v>
      </c>
      <c r="AD24" s="96">
        <v>0.85541912883238602</v>
      </c>
      <c r="AE24" s="292" t="s">
        <v>1254</v>
      </c>
      <c r="AF24" s="96">
        <v>0.66754856976671872</v>
      </c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>
        <v>-0.03</v>
      </c>
      <c r="AX24" s="96">
        <v>1.17</v>
      </c>
      <c r="AY24" s="96">
        <v>8.94</v>
      </c>
      <c r="AZ24" s="96">
        <v>4.08</v>
      </c>
      <c r="BA24" s="96">
        <v>21.38</v>
      </c>
      <c r="BB24" s="96">
        <v>0.17</v>
      </c>
      <c r="BC24" s="96">
        <v>7.96</v>
      </c>
      <c r="BD24" s="96">
        <v>1</v>
      </c>
      <c r="BE24" s="96">
        <v>0.1</v>
      </c>
      <c r="BF24" s="96">
        <v>10.45</v>
      </c>
      <c r="BG24" s="96">
        <v>7.0000000000000007E-2</v>
      </c>
      <c r="BH24" s="96">
        <v>0</v>
      </c>
      <c r="BI24" s="96">
        <v>0</v>
      </c>
      <c r="BJ24" s="96">
        <v>41.18</v>
      </c>
      <c r="BK24" s="96">
        <v>96.48</v>
      </c>
      <c r="BM24" s="98">
        <v>0.09</v>
      </c>
      <c r="BN24" s="98">
        <v>0.11</v>
      </c>
      <c r="BO24" s="98">
        <v>0.2</v>
      </c>
      <c r="BP24" s="98">
        <v>0.11</v>
      </c>
      <c r="BQ24" s="98">
        <v>0.28999999999999998</v>
      </c>
      <c r="BR24" s="98">
        <v>0.03</v>
      </c>
      <c r="BS24" s="98">
        <v>0.16</v>
      </c>
      <c r="BT24" s="98">
        <v>0.05</v>
      </c>
      <c r="BU24" s="98">
        <v>0.06</v>
      </c>
      <c r="BV24" s="98">
        <v>0.34</v>
      </c>
      <c r="BW24" s="98">
        <v>0.02</v>
      </c>
      <c r="BX24" s="98">
        <v>0.01</v>
      </c>
      <c r="BY24" s="98">
        <v>0.03</v>
      </c>
    </row>
    <row r="25" spans="1:77" ht="14" customHeight="1">
      <c r="A25" s="2" t="s">
        <v>1273</v>
      </c>
      <c r="B25" s="96">
        <v>45.71</v>
      </c>
      <c r="C25" s="96">
        <v>1.66</v>
      </c>
      <c r="D25" s="96">
        <v>7.75</v>
      </c>
      <c r="E25" s="96">
        <v>0.01</v>
      </c>
      <c r="F25" s="96">
        <v>13.84</v>
      </c>
      <c r="G25" s="96">
        <v>0.13</v>
      </c>
      <c r="H25" s="96">
        <v>15.09</v>
      </c>
      <c r="I25" s="96">
        <v>11.17</v>
      </c>
      <c r="J25" s="96">
        <v>1.54</v>
      </c>
      <c r="K25" s="96">
        <v>0.24</v>
      </c>
      <c r="L25" s="96">
        <v>-0.06</v>
      </c>
      <c r="M25" s="96">
        <v>0.06</v>
      </c>
      <c r="N25" s="96">
        <v>0.01</v>
      </c>
      <c r="O25" s="96">
        <v>0.01</v>
      </c>
      <c r="P25" s="96">
        <v>97.2</v>
      </c>
      <c r="Q25" s="96"/>
      <c r="R25" s="99">
        <v>873.09609089732794</v>
      </c>
      <c r="S25" s="99">
        <v>22</v>
      </c>
      <c r="T25" s="96">
        <v>1.9739591602387856</v>
      </c>
      <c r="U25" s="96">
        <f t="shared" si="1"/>
        <v>2.6639591602387855</v>
      </c>
      <c r="V25" s="96">
        <v>-10.425167004414693</v>
      </c>
      <c r="W25" s="96">
        <v>0.4</v>
      </c>
      <c r="X25" s="96">
        <v>1.3152467140364936</v>
      </c>
      <c r="Y25" s="96">
        <f t="shared" si="5"/>
        <v>2.6565712115359545</v>
      </c>
      <c r="Z25" s="96">
        <f t="shared" si="2"/>
        <v>0.42505139384575275</v>
      </c>
      <c r="AA25" s="96" t="s">
        <v>1253</v>
      </c>
      <c r="AB25" s="96" t="s">
        <v>1254</v>
      </c>
      <c r="AC25" s="96">
        <v>6.5820624322651318</v>
      </c>
      <c r="AD25" s="96">
        <v>0.88345782894307279</v>
      </c>
      <c r="AE25" s="292" t="s">
        <v>1254</v>
      </c>
      <c r="AF25" s="96">
        <v>0.7436077615278226</v>
      </c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>
        <v>-0.06</v>
      </c>
      <c r="AX25" s="96">
        <v>1.1399999999999999</v>
      </c>
      <c r="AY25" s="96">
        <v>9.1</v>
      </c>
      <c r="AZ25" s="96">
        <v>4.0999999999999996</v>
      </c>
      <c r="BA25" s="96">
        <v>21.36</v>
      </c>
      <c r="BB25" s="96">
        <v>0.2</v>
      </c>
      <c r="BC25" s="96">
        <v>7.98</v>
      </c>
      <c r="BD25" s="96">
        <v>0.99</v>
      </c>
      <c r="BE25" s="96">
        <v>0.1</v>
      </c>
      <c r="BF25" s="96">
        <v>10.76</v>
      </c>
      <c r="BG25" s="96">
        <v>0.06</v>
      </c>
      <c r="BH25" s="96">
        <v>0</v>
      </c>
      <c r="BI25" s="96">
        <v>0.01</v>
      </c>
      <c r="BJ25" s="96">
        <v>41.39</v>
      </c>
      <c r="BK25" s="96">
        <v>97.15</v>
      </c>
      <c r="BM25" s="98">
        <v>0.1</v>
      </c>
      <c r="BN25" s="98">
        <v>0.11</v>
      </c>
      <c r="BO25" s="98">
        <v>0.2</v>
      </c>
      <c r="BP25" s="98">
        <v>0.11</v>
      </c>
      <c r="BQ25" s="98">
        <v>0.28999999999999998</v>
      </c>
      <c r="BR25" s="98">
        <v>0.03</v>
      </c>
      <c r="BS25" s="98">
        <v>0.16</v>
      </c>
      <c r="BT25" s="98">
        <v>0.05</v>
      </c>
      <c r="BU25" s="98">
        <v>0.06</v>
      </c>
      <c r="BV25" s="98">
        <v>0.35</v>
      </c>
      <c r="BW25" s="98">
        <v>0.02</v>
      </c>
      <c r="BX25" s="98">
        <v>0.01</v>
      </c>
      <c r="BY25" s="98">
        <v>0.03</v>
      </c>
    </row>
    <row r="26" spans="1:77" ht="14" customHeight="1">
      <c r="A26" s="2" t="s">
        <v>1274</v>
      </c>
      <c r="B26" s="96">
        <v>45.12</v>
      </c>
      <c r="C26" s="96">
        <v>1.61</v>
      </c>
      <c r="D26" s="96">
        <v>7.59</v>
      </c>
      <c r="E26" s="96">
        <v>0.03</v>
      </c>
      <c r="F26" s="96">
        <v>13.68</v>
      </c>
      <c r="G26" s="96">
        <v>0.21</v>
      </c>
      <c r="H26" s="96">
        <v>14.89</v>
      </c>
      <c r="I26" s="96">
        <v>11.07</v>
      </c>
      <c r="J26" s="96">
        <v>1.54</v>
      </c>
      <c r="K26" s="96">
        <v>0.24</v>
      </c>
      <c r="L26" s="96">
        <v>-0.03</v>
      </c>
      <c r="M26" s="96">
        <v>0.05</v>
      </c>
      <c r="N26" s="96">
        <v>0.03</v>
      </c>
      <c r="O26" s="96">
        <v>0</v>
      </c>
      <c r="P26" s="96">
        <v>96.02</v>
      </c>
      <c r="Q26" s="96"/>
      <c r="R26" s="99">
        <v>876.53733039401732</v>
      </c>
      <c r="S26" s="99">
        <v>22</v>
      </c>
      <c r="T26" s="96">
        <v>1.9907420150728345</v>
      </c>
      <c r="U26" s="96">
        <f t="shared" si="1"/>
        <v>2.6807420150728345</v>
      </c>
      <c r="V26" s="96">
        <v>-10.34548992967423</v>
      </c>
      <c r="W26" s="96">
        <v>0.4</v>
      </c>
      <c r="X26" s="96">
        <v>1.3049259666283135</v>
      </c>
      <c r="Y26" s="96">
        <f t="shared" si="5"/>
        <v>2.6262481144429062</v>
      </c>
      <c r="Z26" s="96">
        <f t="shared" si="2"/>
        <v>0.42019969831086501</v>
      </c>
      <c r="AA26" s="96" t="s">
        <v>1253</v>
      </c>
      <c r="AB26" s="96" t="s">
        <v>1254</v>
      </c>
      <c r="AC26" s="96">
        <v>6.5820085395274601</v>
      </c>
      <c r="AD26" s="96">
        <v>0.88153128989717966</v>
      </c>
      <c r="AE26" s="96" t="s">
        <v>1254</v>
      </c>
      <c r="AF26" s="96">
        <v>0.73924720527482179</v>
      </c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>
        <v>-0.03</v>
      </c>
      <c r="AX26" s="96">
        <v>1.1399999999999999</v>
      </c>
      <c r="AY26" s="96">
        <v>8.98</v>
      </c>
      <c r="AZ26" s="96">
        <v>4.0199999999999996</v>
      </c>
      <c r="BA26" s="96">
        <v>21.09</v>
      </c>
      <c r="BB26" s="96">
        <v>0.2</v>
      </c>
      <c r="BC26" s="96">
        <v>7.91</v>
      </c>
      <c r="BD26" s="96">
        <v>0.97</v>
      </c>
      <c r="BE26" s="96">
        <v>0.16</v>
      </c>
      <c r="BF26" s="96">
        <v>10.63</v>
      </c>
      <c r="BG26" s="96">
        <v>0.05</v>
      </c>
      <c r="BH26" s="96">
        <v>0</v>
      </c>
      <c r="BI26" s="96">
        <v>0.02</v>
      </c>
      <c r="BJ26" s="96">
        <v>40.86</v>
      </c>
      <c r="BK26" s="96">
        <v>96</v>
      </c>
      <c r="BM26" s="98">
        <v>0.1</v>
      </c>
      <c r="BN26" s="98">
        <v>0.11</v>
      </c>
      <c r="BO26" s="98">
        <v>0.2</v>
      </c>
      <c r="BP26" s="98">
        <v>0.11</v>
      </c>
      <c r="BQ26" s="98">
        <v>0.28000000000000003</v>
      </c>
      <c r="BR26" s="98">
        <v>0.03</v>
      </c>
      <c r="BS26" s="98">
        <v>0.16</v>
      </c>
      <c r="BT26" s="98">
        <v>0.05</v>
      </c>
      <c r="BU26" s="98">
        <v>0.06</v>
      </c>
      <c r="BV26" s="98">
        <v>0.35</v>
      </c>
      <c r="BW26" s="98">
        <v>0.02</v>
      </c>
      <c r="BX26" s="98">
        <v>0.02</v>
      </c>
      <c r="BY26" s="98">
        <v>0.03</v>
      </c>
    </row>
    <row r="27" spans="1:77" ht="14" customHeight="1">
      <c r="A27" s="2" t="s">
        <v>1275</v>
      </c>
      <c r="B27" s="96">
        <v>45.85</v>
      </c>
      <c r="C27" s="96">
        <v>1.65</v>
      </c>
      <c r="D27" s="96">
        <v>7.66</v>
      </c>
      <c r="E27" s="96">
        <v>0.01</v>
      </c>
      <c r="F27" s="96">
        <v>13.77</v>
      </c>
      <c r="G27" s="96">
        <v>0.16</v>
      </c>
      <c r="H27" s="96">
        <v>14.76</v>
      </c>
      <c r="I27" s="96">
        <v>10.87</v>
      </c>
      <c r="J27" s="96">
        <v>1.44</v>
      </c>
      <c r="K27" s="96">
        <v>0.19</v>
      </c>
      <c r="L27" s="96">
        <v>0.02</v>
      </c>
      <c r="M27" s="96">
        <v>0.05</v>
      </c>
      <c r="N27" s="96">
        <v>0.01</v>
      </c>
      <c r="O27" s="96">
        <v>-0.01</v>
      </c>
      <c r="P27" s="96">
        <v>96.43</v>
      </c>
      <c r="Q27" s="96"/>
      <c r="R27" s="99">
        <v>845.71499539142974</v>
      </c>
      <c r="S27" s="99">
        <v>22</v>
      </c>
      <c r="T27" s="96">
        <v>1.8372458546127319</v>
      </c>
      <c r="U27" s="96">
        <f t="shared" si="1"/>
        <v>2.5272458546127319</v>
      </c>
      <c r="V27" s="96">
        <v>-11.083007962470674</v>
      </c>
      <c r="W27" s="96">
        <v>0.4</v>
      </c>
      <c r="X27" s="96">
        <v>1.3071933473069555</v>
      </c>
      <c r="Y27" s="96">
        <f t="shared" si="5"/>
        <v>2.6328916729659473</v>
      </c>
      <c r="Z27" s="96">
        <f t="shared" si="2"/>
        <v>0.42126266767455156</v>
      </c>
      <c r="AA27" s="96" t="s">
        <v>1253</v>
      </c>
      <c r="AB27" s="96" t="s">
        <v>1254</v>
      </c>
      <c r="AC27" s="96">
        <v>6.6388927450725337</v>
      </c>
      <c r="AD27" s="96">
        <v>0.8823271847448908</v>
      </c>
      <c r="AE27" s="96" t="s">
        <v>1254</v>
      </c>
      <c r="AF27" s="96">
        <v>0.7451683626397746</v>
      </c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>
        <v>0.02</v>
      </c>
      <c r="AX27" s="96">
        <v>1.07</v>
      </c>
      <c r="AY27" s="96">
        <v>8.9</v>
      </c>
      <c r="AZ27" s="96">
        <v>4.0599999999999996</v>
      </c>
      <c r="BA27" s="96">
        <v>21.43</v>
      </c>
      <c r="BB27" s="96">
        <v>0.16</v>
      </c>
      <c r="BC27" s="96">
        <v>7.77</v>
      </c>
      <c r="BD27" s="96">
        <v>0.99</v>
      </c>
      <c r="BE27" s="96">
        <v>0.13</v>
      </c>
      <c r="BF27" s="96">
        <v>10.7</v>
      </c>
      <c r="BG27" s="96">
        <v>0.05</v>
      </c>
      <c r="BH27" s="96">
        <v>0</v>
      </c>
      <c r="BI27" s="96">
        <v>0.01</v>
      </c>
      <c r="BJ27" s="96">
        <v>41.15</v>
      </c>
      <c r="BK27" s="96">
        <v>96.42</v>
      </c>
      <c r="BM27" s="98">
        <v>0.1</v>
      </c>
      <c r="BN27" s="98">
        <v>0.11</v>
      </c>
      <c r="BO27" s="98">
        <v>0.2</v>
      </c>
      <c r="BP27" s="98">
        <v>0.11</v>
      </c>
      <c r="BQ27" s="98">
        <v>0.28999999999999998</v>
      </c>
      <c r="BR27" s="98">
        <v>0.03</v>
      </c>
      <c r="BS27" s="98">
        <v>0.16</v>
      </c>
      <c r="BT27" s="98">
        <v>0.05</v>
      </c>
      <c r="BU27" s="98">
        <v>0.06</v>
      </c>
      <c r="BV27" s="98">
        <v>0.35</v>
      </c>
      <c r="BW27" s="98">
        <v>0.02</v>
      </c>
      <c r="BX27" s="98">
        <v>0.02</v>
      </c>
      <c r="BY27" s="98">
        <v>0.03</v>
      </c>
    </row>
    <row r="28" spans="1:77" s="29" customFormat="1" ht="14" customHeight="1"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60">
        <f>AVERAGE(R16:R27)</f>
        <v>857.31468409050706</v>
      </c>
      <c r="S28" s="160"/>
      <c r="T28" s="159">
        <f>AVERAGE(T16:T27)</f>
        <v>1.8936422116923677</v>
      </c>
      <c r="U28" s="159">
        <f>AVERAGE(U16:U27)</f>
        <v>2.5836422116923683</v>
      </c>
      <c r="V28" s="159">
        <f>AVERAGE(V16:V27)</f>
        <v>-10.806657778439133</v>
      </c>
      <c r="W28" s="160"/>
      <c r="X28" s="96"/>
      <c r="Y28" s="159">
        <f t="shared" ref="Y28" si="6">AVERAGE(Y16:Y27)</f>
        <v>2.6000341427080298</v>
      </c>
      <c r="Z28" s="96"/>
      <c r="AA28" s="159"/>
      <c r="AB28" s="159"/>
      <c r="AC28" s="96"/>
      <c r="AD28" s="96"/>
      <c r="AE28" s="159"/>
      <c r="AF28" s="96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</row>
    <row r="29" spans="1:77" s="29" customFormat="1" ht="14" customHeight="1"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60">
        <f>_xlfn.STDEV.S(R16:R27)</f>
        <v>13.560828508335304</v>
      </c>
      <c r="S29" s="160"/>
      <c r="T29" s="159">
        <f>_xlfn.STDEV.S(T16:T27)</f>
        <v>0.10040576583014302</v>
      </c>
      <c r="U29" s="159">
        <f>_xlfn.STDEV.S(U16:U27)</f>
        <v>0.10040576583014302</v>
      </c>
      <c r="V29" s="159">
        <f>_xlfn.STDEV.S(V16:V27)</f>
        <v>0.34459799565939953</v>
      </c>
      <c r="W29" s="160"/>
      <c r="X29" s="96"/>
      <c r="Y29" s="159">
        <f t="shared" ref="Y29" si="7">_xlfn.STDEV.S(Y16:Y27)</f>
        <v>7.3505015178364511E-2</v>
      </c>
      <c r="Z29" s="96"/>
      <c r="AA29" s="159"/>
      <c r="AB29" s="159"/>
      <c r="AC29" s="96"/>
      <c r="AD29" s="96"/>
      <c r="AE29" s="159"/>
      <c r="AF29" s="96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</row>
    <row r="30" spans="1:77" s="293" customFormat="1" ht="14" customHeight="1"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4"/>
      <c r="S30" s="294"/>
      <c r="T30" s="292"/>
      <c r="U30" s="292"/>
      <c r="V30" s="292"/>
      <c r="W30" s="294"/>
      <c r="X30" s="96"/>
      <c r="Y30" s="292"/>
      <c r="Z30" s="96"/>
      <c r="AA30" s="292"/>
      <c r="AB30" s="292"/>
      <c r="AC30" s="96"/>
      <c r="AD30" s="96"/>
      <c r="AE30" s="292"/>
      <c r="AF30" s="96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  <c r="BE30" s="292"/>
      <c r="BF30" s="292"/>
      <c r="BG30" s="292"/>
      <c r="BH30" s="292"/>
      <c r="BI30" s="292"/>
      <c r="BJ30" s="292"/>
      <c r="BK30" s="292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</row>
    <row r="31" spans="1:77" s="293" customFormat="1" ht="14" customHeight="1">
      <c r="B31" s="292"/>
      <c r="C31" s="292"/>
      <c r="D31" s="292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4">
        <f>AVERAGE(R3:R12, R16:R27)</f>
        <v>849.79821619382449</v>
      </c>
      <c r="S31" s="292">
        <f t="shared" ref="S31:AF31" si="8">AVERAGE(S3:S12, S16:S27)</f>
        <v>22</v>
      </c>
      <c r="T31" s="292">
        <f t="shared" si="8"/>
        <v>1.8563765821776903</v>
      </c>
      <c r="U31" s="292">
        <f t="shared" si="8"/>
        <v>2.54637658217769</v>
      </c>
      <c r="V31" s="292">
        <f t="shared" si="8"/>
        <v>-10.989008701446217</v>
      </c>
      <c r="W31" s="292"/>
      <c r="X31" s="292">
        <f t="shared" si="8"/>
        <v>1.2921958552030814</v>
      </c>
      <c r="Y31" s="292">
        <f t="shared" si="8"/>
        <v>2.5896654183883094</v>
      </c>
      <c r="Z31" s="96"/>
      <c r="AA31" s="292"/>
      <c r="AB31" s="292"/>
      <c r="AC31" s="292"/>
      <c r="AD31" s="292"/>
      <c r="AE31" s="292"/>
      <c r="AF31" s="292">
        <f t="shared" si="8"/>
        <v>0.7122644616790903</v>
      </c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2"/>
      <c r="BG31" s="292"/>
      <c r="BH31" s="292"/>
      <c r="BI31" s="292"/>
      <c r="BJ31" s="292"/>
      <c r="BK31" s="292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</row>
    <row r="32" spans="1:77" s="293" customFormat="1" ht="14" customHeight="1">
      <c r="B32" s="292"/>
      <c r="C32" s="292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4">
        <f>_xlfn.STDEV.S(R3:R12,R16:R27)</f>
        <v>14.157254231497729</v>
      </c>
      <c r="S32" s="292">
        <f t="shared" ref="S32:AF32" si="9">_xlfn.STDEV.S(S3:S12,S16:S27)</f>
        <v>0</v>
      </c>
      <c r="T32" s="292">
        <f t="shared" si="9"/>
        <v>0.10309058103190272</v>
      </c>
      <c r="U32" s="292">
        <f t="shared" si="9"/>
        <v>0.10309058103190272</v>
      </c>
      <c r="V32" s="292">
        <f t="shared" si="9"/>
        <v>0.36377852669686994</v>
      </c>
      <c r="W32" s="292"/>
      <c r="X32" s="292">
        <f t="shared" si="9"/>
        <v>2.3562658563465441E-2</v>
      </c>
      <c r="Y32" s="292">
        <f t="shared" si="9"/>
        <v>6.8295478278665889E-2</v>
      </c>
      <c r="Z32" s="96"/>
      <c r="AA32" s="292"/>
      <c r="AB32" s="292"/>
      <c r="AC32" s="292"/>
      <c r="AD32" s="292"/>
      <c r="AE32" s="292"/>
      <c r="AF32" s="292">
        <f t="shared" si="9"/>
        <v>2.7742088590695206E-2</v>
      </c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2"/>
      <c r="BK32" s="292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</row>
    <row r="33" spans="1:77" ht="14" customHeight="1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9"/>
      <c r="S33" s="99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</row>
    <row r="34" spans="1:77" ht="14" customHeight="1">
      <c r="A34" s="2" t="s">
        <v>1276</v>
      </c>
      <c r="B34" s="96">
        <v>47.79</v>
      </c>
      <c r="C34" s="96">
        <v>1.27</v>
      </c>
      <c r="D34" s="96">
        <v>5.62</v>
      </c>
      <c r="E34" s="96">
        <v>0.01</v>
      </c>
      <c r="F34" s="96">
        <v>13.02</v>
      </c>
      <c r="G34" s="96">
        <v>0.17</v>
      </c>
      <c r="H34" s="96">
        <v>15.66</v>
      </c>
      <c r="I34" s="96">
        <v>11.22</v>
      </c>
      <c r="J34" s="96">
        <v>1.1599999999999999</v>
      </c>
      <c r="K34" s="96">
        <v>0.41</v>
      </c>
      <c r="L34" s="96">
        <v>0.02</v>
      </c>
      <c r="M34" s="96">
        <v>0.13</v>
      </c>
      <c r="N34" s="96">
        <v>0.01</v>
      </c>
      <c r="O34" s="96">
        <v>-0.02</v>
      </c>
      <c r="P34" s="96">
        <v>96.48</v>
      </c>
      <c r="Q34" s="96"/>
      <c r="R34" s="99">
        <v>819.6584318588632</v>
      </c>
      <c r="S34" s="99">
        <v>22</v>
      </c>
      <c r="T34" s="96">
        <v>2.3464722105900453</v>
      </c>
      <c r="U34" s="96">
        <f t="shared" si="1"/>
        <v>3.0364722105900452</v>
      </c>
      <c r="V34" s="96">
        <v>-11.11450518361888</v>
      </c>
      <c r="W34" s="96">
        <v>0.4</v>
      </c>
      <c r="X34" s="96">
        <v>0.95935305832429973</v>
      </c>
      <c r="Y34" s="96">
        <f t="shared" ref="Y34:Y45" si="10">0.5+0.331*X34+0.995*X34^2</f>
        <v>1.7333023613689496</v>
      </c>
      <c r="Z34" s="96">
        <f t="shared" si="2"/>
        <v>0.27732837781903191</v>
      </c>
      <c r="AA34" s="96" t="s">
        <v>1253</v>
      </c>
      <c r="AB34" s="96" t="s">
        <v>1254</v>
      </c>
      <c r="AC34" s="96">
        <v>6.9218858414690798</v>
      </c>
      <c r="AD34" s="96">
        <v>0.86188661558766122</v>
      </c>
      <c r="AE34" s="96" t="s">
        <v>1254</v>
      </c>
      <c r="AF34" s="96">
        <v>0.65642555914608847</v>
      </c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>
        <v>0.02</v>
      </c>
      <c r="AX34" s="96">
        <v>0.86</v>
      </c>
      <c r="AY34" s="96">
        <v>9.44</v>
      </c>
      <c r="AZ34" s="96">
        <v>2.98</v>
      </c>
      <c r="BA34" s="96">
        <v>22.34</v>
      </c>
      <c r="BB34" s="96">
        <v>0.34</v>
      </c>
      <c r="BC34" s="96">
        <v>8.02</v>
      </c>
      <c r="BD34" s="96">
        <v>0.76</v>
      </c>
      <c r="BE34" s="96">
        <v>0.13</v>
      </c>
      <c r="BF34" s="96">
        <v>10.119999999999999</v>
      </c>
      <c r="BG34" s="96">
        <v>0.13</v>
      </c>
      <c r="BH34" s="96">
        <v>-0.01</v>
      </c>
      <c r="BI34" s="96">
        <v>0.01</v>
      </c>
      <c r="BJ34" s="96">
        <v>41.33</v>
      </c>
      <c r="BK34" s="96">
        <v>96.47</v>
      </c>
      <c r="BM34" s="98">
        <v>0.1</v>
      </c>
      <c r="BN34" s="98">
        <v>0.09</v>
      </c>
      <c r="BO34" s="98">
        <v>0.21</v>
      </c>
      <c r="BP34" s="98">
        <v>0.1</v>
      </c>
      <c r="BQ34" s="98">
        <v>0.28999999999999998</v>
      </c>
      <c r="BR34" s="98">
        <v>0.04</v>
      </c>
      <c r="BS34" s="98">
        <v>0.16</v>
      </c>
      <c r="BT34" s="98">
        <v>0.04</v>
      </c>
      <c r="BU34" s="98">
        <v>0.06</v>
      </c>
      <c r="BV34" s="98">
        <v>0.34</v>
      </c>
      <c r="BW34" s="98">
        <v>0.03</v>
      </c>
      <c r="BX34" s="98">
        <v>0.02</v>
      </c>
      <c r="BY34" s="98">
        <v>0.03</v>
      </c>
    </row>
    <row r="35" spans="1:77" ht="14" customHeight="1">
      <c r="A35" s="2" t="s">
        <v>1277</v>
      </c>
      <c r="B35" s="96">
        <v>46.13</v>
      </c>
      <c r="C35" s="96">
        <v>1.63</v>
      </c>
      <c r="D35" s="96">
        <v>6.63</v>
      </c>
      <c r="E35" s="96">
        <v>-0.01</v>
      </c>
      <c r="F35" s="96">
        <v>13.51</v>
      </c>
      <c r="G35" s="96">
        <v>0.18</v>
      </c>
      <c r="H35" s="96">
        <v>14.69</v>
      </c>
      <c r="I35" s="96">
        <v>11.34</v>
      </c>
      <c r="J35" s="96">
        <v>1.27</v>
      </c>
      <c r="K35" s="96">
        <v>0.57999999999999996</v>
      </c>
      <c r="L35" s="96">
        <v>0.03</v>
      </c>
      <c r="M35" s="96">
        <v>0.2</v>
      </c>
      <c r="N35" s="96">
        <v>-0.01</v>
      </c>
      <c r="O35" s="96">
        <v>-0.01</v>
      </c>
      <c r="P35" s="96">
        <v>96.19</v>
      </c>
      <c r="Q35" s="96"/>
      <c r="R35" s="99">
        <v>839.6431976277288</v>
      </c>
      <c r="S35" s="99">
        <v>22</v>
      </c>
      <c r="T35" s="96">
        <v>1.8317354587185202</v>
      </c>
      <c r="U35" s="96">
        <f t="shared" si="1"/>
        <v>2.5217354587185201</v>
      </c>
      <c r="V35" s="96">
        <v>-11.21812571036439</v>
      </c>
      <c r="W35" s="96">
        <v>0.4</v>
      </c>
      <c r="X35" s="96">
        <v>1.1476511891223329</v>
      </c>
      <c r="Y35" s="96">
        <f t="shared" si="10"/>
        <v>2.1903902792339274</v>
      </c>
      <c r="Z35" s="96">
        <f t="shared" si="2"/>
        <v>0.35046244467742838</v>
      </c>
      <c r="AA35" s="96" t="s">
        <v>1253</v>
      </c>
      <c r="AB35" s="96" t="s">
        <v>1254</v>
      </c>
      <c r="AC35" s="96">
        <v>6.7752463410262012</v>
      </c>
      <c r="AD35" s="96">
        <v>0.80973800134453644</v>
      </c>
      <c r="AE35" s="96" t="s">
        <v>1254</v>
      </c>
      <c r="AF35" s="96">
        <v>0.5445628807608931</v>
      </c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>
        <v>0.03</v>
      </c>
      <c r="AX35" s="96">
        <v>0.94</v>
      </c>
      <c r="AY35" s="96">
        <v>8.86</v>
      </c>
      <c r="AZ35" s="96">
        <v>3.51</v>
      </c>
      <c r="BA35" s="96">
        <v>21.56</v>
      </c>
      <c r="BB35" s="96">
        <v>0.49</v>
      </c>
      <c r="BC35" s="96">
        <v>8.1</v>
      </c>
      <c r="BD35" s="96">
        <v>0.98</v>
      </c>
      <c r="BE35" s="96">
        <v>0.14000000000000001</v>
      </c>
      <c r="BF35" s="96">
        <v>10.5</v>
      </c>
      <c r="BG35" s="96">
        <v>0.2</v>
      </c>
      <c r="BH35" s="96">
        <v>0</v>
      </c>
      <c r="BI35" s="96">
        <v>0</v>
      </c>
      <c r="BJ35" s="96">
        <v>40.880000000000003</v>
      </c>
      <c r="BK35" s="96">
        <v>96.17</v>
      </c>
      <c r="BM35" s="98">
        <v>0.1</v>
      </c>
      <c r="BN35" s="98">
        <v>0.1</v>
      </c>
      <c r="BO35" s="98">
        <v>0.2</v>
      </c>
      <c r="BP35" s="98">
        <v>0.11</v>
      </c>
      <c r="BQ35" s="98">
        <v>0.28999999999999998</v>
      </c>
      <c r="BR35" s="98">
        <v>0.05</v>
      </c>
      <c r="BS35" s="98">
        <v>0.16</v>
      </c>
      <c r="BT35" s="98">
        <v>0.05</v>
      </c>
      <c r="BU35" s="98">
        <v>0.06</v>
      </c>
      <c r="BV35" s="98">
        <v>0.34</v>
      </c>
      <c r="BW35" s="98">
        <v>0.03</v>
      </c>
      <c r="BX35" s="98">
        <v>0.02</v>
      </c>
      <c r="BY35" s="98">
        <v>0.03</v>
      </c>
    </row>
    <row r="36" spans="1:77" ht="14" customHeight="1">
      <c r="A36" s="2" t="s">
        <v>1278</v>
      </c>
      <c r="B36" s="96">
        <v>48.67</v>
      </c>
      <c r="C36" s="96">
        <v>1.3</v>
      </c>
      <c r="D36" s="96">
        <v>5.48</v>
      </c>
      <c r="E36" s="96">
        <v>0</v>
      </c>
      <c r="F36" s="96">
        <v>13.08</v>
      </c>
      <c r="G36" s="96">
        <v>0.17</v>
      </c>
      <c r="H36" s="96">
        <v>15.67</v>
      </c>
      <c r="I36" s="96">
        <v>11.57</v>
      </c>
      <c r="J36" s="96">
        <v>1.0900000000000001</v>
      </c>
      <c r="K36" s="96">
        <v>0.51</v>
      </c>
      <c r="L36" s="96">
        <v>0.1</v>
      </c>
      <c r="M36" s="96">
        <v>0.17</v>
      </c>
      <c r="N36" s="96">
        <v>0</v>
      </c>
      <c r="O36" s="96">
        <v>-0.01</v>
      </c>
      <c r="P36" s="96">
        <v>97.81</v>
      </c>
      <c r="Q36" s="96"/>
      <c r="R36" s="99">
        <v>804.00562219575545</v>
      </c>
      <c r="S36" s="99">
        <v>22</v>
      </c>
      <c r="T36" s="96">
        <v>2.184618827934993</v>
      </c>
      <c r="U36" s="96">
        <f t="shared" si="1"/>
        <v>2.8746188279349929</v>
      </c>
      <c r="V36" s="96">
        <v>-11.602666703084893</v>
      </c>
      <c r="W36" s="96">
        <v>0.4</v>
      </c>
      <c r="X36" s="96">
        <v>0.92724420955454323</v>
      </c>
      <c r="Y36" s="96">
        <f t="shared" si="10"/>
        <v>1.6624007483942214</v>
      </c>
      <c r="Z36" s="96">
        <f t="shared" si="2"/>
        <v>0.2659841197430754</v>
      </c>
      <c r="AA36" s="96" t="s">
        <v>1253</v>
      </c>
      <c r="AB36" s="96" t="s">
        <v>1254</v>
      </c>
      <c r="AC36" s="96">
        <v>6.9874734514145524</v>
      </c>
      <c r="AD36" s="96">
        <v>0.82536915347614492</v>
      </c>
      <c r="AE36" s="96" t="s">
        <v>1254</v>
      </c>
      <c r="AF36" s="96">
        <v>0.54815610207800802</v>
      </c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>
        <v>0.1</v>
      </c>
      <c r="AX36" s="96">
        <v>0.81</v>
      </c>
      <c r="AY36" s="96">
        <v>9.4499999999999993</v>
      </c>
      <c r="AZ36" s="96">
        <v>2.9</v>
      </c>
      <c r="BA36" s="96">
        <v>22.75</v>
      </c>
      <c r="BB36" s="96">
        <v>0.42</v>
      </c>
      <c r="BC36" s="96">
        <v>8.27</v>
      </c>
      <c r="BD36" s="96">
        <v>0.78</v>
      </c>
      <c r="BE36" s="96">
        <v>0.13</v>
      </c>
      <c r="BF36" s="96">
        <v>10.16</v>
      </c>
      <c r="BG36" s="96">
        <v>0.17</v>
      </c>
      <c r="BH36" s="96">
        <v>0</v>
      </c>
      <c r="BI36" s="96">
        <v>0</v>
      </c>
      <c r="BJ36" s="96">
        <v>41.86</v>
      </c>
      <c r="BK36" s="96">
        <v>97.8</v>
      </c>
      <c r="BM36" s="98">
        <v>0.1</v>
      </c>
      <c r="BN36" s="98">
        <v>0.09</v>
      </c>
      <c r="BO36" s="98">
        <v>0.21</v>
      </c>
      <c r="BP36" s="98">
        <v>0.1</v>
      </c>
      <c r="BQ36" s="98">
        <v>0.3</v>
      </c>
      <c r="BR36" s="98">
        <v>0.04</v>
      </c>
      <c r="BS36" s="98">
        <v>0.16</v>
      </c>
      <c r="BT36" s="98">
        <v>0.05</v>
      </c>
      <c r="BU36" s="98">
        <v>0.06</v>
      </c>
      <c r="BV36" s="98">
        <v>0.34</v>
      </c>
      <c r="BW36" s="98">
        <v>0.03</v>
      </c>
      <c r="BX36" s="98">
        <v>0.02</v>
      </c>
      <c r="BY36" s="98">
        <v>0.03</v>
      </c>
    </row>
    <row r="37" spans="1:77" ht="14" customHeight="1">
      <c r="A37" s="2" t="s">
        <v>1279</v>
      </c>
      <c r="B37" s="96">
        <v>48.09</v>
      </c>
      <c r="C37" s="96">
        <v>1.33</v>
      </c>
      <c r="D37" s="96">
        <v>5.65</v>
      </c>
      <c r="E37" s="96">
        <v>0.04</v>
      </c>
      <c r="F37" s="96">
        <v>12.92</v>
      </c>
      <c r="G37" s="96">
        <v>0.17</v>
      </c>
      <c r="H37" s="96">
        <v>15.56</v>
      </c>
      <c r="I37" s="96">
        <v>11.24</v>
      </c>
      <c r="J37" s="96">
        <v>1.1599999999999999</v>
      </c>
      <c r="K37" s="96">
        <v>0.31</v>
      </c>
      <c r="L37" s="96">
        <v>0</v>
      </c>
      <c r="M37" s="96">
        <v>0.11</v>
      </c>
      <c r="N37" s="96">
        <v>0.04</v>
      </c>
      <c r="O37" s="96">
        <v>0.02</v>
      </c>
      <c r="P37" s="96">
        <v>96.6</v>
      </c>
      <c r="Q37" s="96"/>
      <c r="R37" s="99">
        <v>806.06921876442834</v>
      </c>
      <c r="S37" s="99">
        <v>22</v>
      </c>
      <c r="T37" s="96">
        <v>2.2080535447476217</v>
      </c>
      <c r="U37" s="96">
        <f t="shared" si="1"/>
        <v>2.8980535447476217</v>
      </c>
      <c r="V37" s="96">
        <v>-11.534236946737604</v>
      </c>
      <c r="W37" s="96">
        <v>0.4</v>
      </c>
      <c r="X37" s="96">
        <v>0.96263488816608944</v>
      </c>
      <c r="Y37" s="96">
        <f t="shared" si="10"/>
        <v>1.7406647462579423</v>
      </c>
      <c r="Z37" s="96">
        <f t="shared" si="2"/>
        <v>0.27850635940127078</v>
      </c>
      <c r="AA37" s="96" t="s">
        <v>1253</v>
      </c>
      <c r="AB37" s="96" t="s">
        <v>1254</v>
      </c>
      <c r="AC37" s="96">
        <v>6.9520546888860526</v>
      </c>
      <c r="AD37" s="96">
        <v>0.85110206505733899</v>
      </c>
      <c r="AE37" s="96" t="s">
        <v>1254</v>
      </c>
      <c r="AF37" s="96">
        <v>0.62441472853002811</v>
      </c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>
        <v>0</v>
      </c>
      <c r="AX37" s="96">
        <v>0.86</v>
      </c>
      <c r="AY37" s="96">
        <v>9.3800000000000008</v>
      </c>
      <c r="AZ37" s="96">
        <v>2.99</v>
      </c>
      <c r="BA37" s="96">
        <v>22.48</v>
      </c>
      <c r="BB37" s="96">
        <v>0.26</v>
      </c>
      <c r="BC37" s="96">
        <v>8.0299999999999994</v>
      </c>
      <c r="BD37" s="96">
        <v>0.8</v>
      </c>
      <c r="BE37" s="96">
        <v>0.13</v>
      </c>
      <c r="BF37" s="96">
        <v>10.039999999999999</v>
      </c>
      <c r="BG37" s="96">
        <v>0.11</v>
      </c>
      <c r="BH37" s="96">
        <v>0.01</v>
      </c>
      <c r="BI37" s="96">
        <v>0.03</v>
      </c>
      <c r="BJ37" s="96">
        <v>41.47</v>
      </c>
      <c r="BK37" s="96">
        <v>96.6</v>
      </c>
      <c r="BM37" s="98">
        <v>0.1</v>
      </c>
      <c r="BN37" s="98">
        <v>0.09</v>
      </c>
      <c r="BO37" s="98">
        <v>0.2</v>
      </c>
      <c r="BP37" s="98">
        <v>0.1</v>
      </c>
      <c r="BQ37" s="98">
        <v>0.3</v>
      </c>
      <c r="BR37" s="98">
        <v>0.04</v>
      </c>
      <c r="BS37" s="98">
        <v>0.16</v>
      </c>
      <c r="BT37" s="98">
        <v>0.05</v>
      </c>
      <c r="BU37" s="98">
        <v>0.06</v>
      </c>
      <c r="BV37" s="98">
        <v>0.33</v>
      </c>
      <c r="BW37" s="98">
        <v>0.02</v>
      </c>
      <c r="BX37" s="98">
        <v>0.01</v>
      </c>
      <c r="BY37" s="98">
        <v>0.03</v>
      </c>
    </row>
    <row r="38" spans="1:77" ht="14" customHeight="1">
      <c r="A38" s="2" t="s">
        <v>1280</v>
      </c>
      <c r="B38" s="96">
        <v>48.47</v>
      </c>
      <c r="C38" s="96">
        <v>1.21</v>
      </c>
      <c r="D38" s="96">
        <v>5.45</v>
      </c>
      <c r="E38" s="96">
        <v>0.02</v>
      </c>
      <c r="F38" s="96">
        <v>13.06</v>
      </c>
      <c r="G38" s="96">
        <v>0.17</v>
      </c>
      <c r="H38" s="96">
        <v>15.61</v>
      </c>
      <c r="I38" s="96">
        <v>11.3</v>
      </c>
      <c r="J38" s="96">
        <v>1.1399999999999999</v>
      </c>
      <c r="K38" s="96">
        <v>0.37</v>
      </c>
      <c r="L38" s="96">
        <v>0.08</v>
      </c>
      <c r="M38" s="96">
        <v>0.11</v>
      </c>
      <c r="N38" s="96">
        <v>0.02</v>
      </c>
      <c r="O38" s="96">
        <v>0</v>
      </c>
      <c r="P38" s="96">
        <v>96.99</v>
      </c>
      <c r="Q38" s="96"/>
      <c r="R38" s="99">
        <v>799.30439948307094</v>
      </c>
      <c r="S38" s="99">
        <v>22</v>
      </c>
      <c r="T38" s="96">
        <v>2.240308243109923</v>
      </c>
      <c r="U38" s="96">
        <f t="shared" si="1"/>
        <v>2.930308243109923</v>
      </c>
      <c r="V38" s="96">
        <v>-11.646466646906436</v>
      </c>
      <c r="W38" s="96">
        <v>0.4</v>
      </c>
      <c r="X38" s="96">
        <v>0.92619196062087517</v>
      </c>
      <c r="Y38" s="96">
        <f t="shared" si="10"/>
        <v>1.6601119291446567</v>
      </c>
      <c r="Z38" s="96">
        <f t="shared" si="2"/>
        <v>0.26561790866314505</v>
      </c>
      <c r="AA38" s="96" t="s">
        <v>1253</v>
      </c>
      <c r="AB38" s="96" t="s">
        <v>1254</v>
      </c>
      <c r="AC38" s="96">
        <v>6.9891245121402639</v>
      </c>
      <c r="AD38" s="96">
        <v>0.84355107130442142</v>
      </c>
      <c r="AE38" s="96" t="s">
        <v>1254</v>
      </c>
      <c r="AF38" s="96">
        <v>0.60483781129209624</v>
      </c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>
        <v>0.08</v>
      </c>
      <c r="AX38" s="96">
        <v>0.84</v>
      </c>
      <c r="AY38" s="96">
        <v>9.41</v>
      </c>
      <c r="AZ38" s="96">
        <v>2.88</v>
      </c>
      <c r="BA38" s="96">
        <v>22.66</v>
      </c>
      <c r="BB38" s="96">
        <v>0.31</v>
      </c>
      <c r="BC38" s="96">
        <v>8.08</v>
      </c>
      <c r="BD38" s="96">
        <v>0.72</v>
      </c>
      <c r="BE38" s="96">
        <v>0.13</v>
      </c>
      <c r="BF38" s="96">
        <v>10.15</v>
      </c>
      <c r="BG38" s="96">
        <v>0.11</v>
      </c>
      <c r="BH38" s="96">
        <v>0</v>
      </c>
      <c r="BI38" s="96">
        <v>0.01</v>
      </c>
      <c r="BJ38" s="96">
        <v>41.59</v>
      </c>
      <c r="BK38" s="96">
        <v>96.99</v>
      </c>
      <c r="BM38" s="98">
        <v>0.1</v>
      </c>
      <c r="BN38" s="98">
        <v>0.09</v>
      </c>
      <c r="BO38" s="98">
        <v>0.21</v>
      </c>
      <c r="BP38" s="98">
        <v>0.1</v>
      </c>
      <c r="BQ38" s="98">
        <v>0.3</v>
      </c>
      <c r="BR38" s="98">
        <v>0.04</v>
      </c>
      <c r="BS38" s="98">
        <v>0.16</v>
      </c>
      <c r="BT38" s="98">
        <v>0.04</v>
      </c>
      <c r="BU38" s="98">
        <v>0.06</v>
      </c>
      <c r="BV38" s="98">
        <v>0.34</v>
      </c>
      <c r="BW38" s="98">
        <v>0.02</v>
      </c>
      <c r="BX38" s="98">
        <v>0.01</v>
      </c>
      <c r="BY38" s="98">
        <v>0.03</v>
      </c>
    </row>
    <row r="39" spans="1:77" ht="14" customHeight="1">
      <c r="A39" s="2" t="s">
        <v>1281</v>
      </c>
      <c r="B39" s="96">
        <v>47.68</v>
      </c>
      <c r="C39" s="96">
        <v>1.25</v>
      </c>
      <c r="D39" s="96">
        <v>5.62</v>
      </c>
      <c r="E39" s="96">
        <v>0.03</v>
      </c>
      <c r="F39" s="96">
        <v>13.1</v>
      </c>
      <c r="G39" s="96">
        <v>0.17</v>
      </c>
      <c r="H39" s="96">
        <v>15.48</v>
      </c>
      <c r="I39" s="96">
        <v>11.29</v>
      </c>
      <c r="J39" s="96">
        <v>1.22</v>
      </c>
      <c r="K39" s="96">
        <v>0.27</v>
      </c>
      <c r="L39" s="96">
        <v>0.1</v>
      </c>
      <c r="M39" s="96">
        <v>0.11</v>
      </c>
      <c r="N39" s="96">
        <v>0.03</v>
      </c>
      <c r="O39" s="96">
        <v>0</v>
      </c>
      <c r="P39" s="96">
        <v>96.34</v>
      </c>
      <c r="Q39" s="96"/>
      <c r="R39" s="99">
        <v>816.36169626317542</v>
      </c>
      <c r="S39" s="99">
        <v>22</v>
      </c>
      <c r="T39" s="96">
        <v>2.2568043015707193</v>
      </c>
      <c r="U39" s="96">
        <f t="shared" si="1"/>
        <v>2.9468043015707193</v>
      </c>
      <c r="V39" s="96">
        <v>-11.271649661840975</v>
      </c>
      <c r="W39" s="96">
        <v>0.4</v>
      </c>
      <c r="X39" s="96">
        <v>0.9626851581649416</v>
      </c>
      <c r="Y39" s="96">
        <f t="shared" si="10"/>
        <v>1.740777687534899</v>
      </c>
      <c r="Z39" s="96">
        <f t="shared" si="2"/>
        <v>0.27852443000558386</v>
      </c>
      <c r="AA39" s="96" t="s">
        <v>1253</v>
      </c>
      <c r="AB39" s="96" t="s">
        <v>1254</v>
      </c>
      <c r="AC39" s="96">
        <v>6.9299397784201453</v>
      </c>
      <c r="AD39" s="96">
        <v>0.84791142466838854</v>
      </c>
      <c r="AE39" s="96" t="s">
        <v>1254</v>
      </c>
      <c r="AF39" s="96">
        <v>0.62216671927680722</v>
      </c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>
        <v>0.1</v>
      </c>
      <c r="AX39" s="96">
        <v>0.91</v>
      </c>
      <c r="AY39" s="96">
        <v>9.33</v>
      </c>
      <c r="AZ39" s="96">
        <v>2.98</v>
      </c>
      <c r="BA39" s="96">
        <v>22.29</v>
      </c>
      <c r="BB39" s="96">
        <v>0.22</v>
      </c>
      <c r="BC39" s="96">
        <v>8.07</v>
      </c>
      <c r="BD39" s="96">
        <v>0.75</v>
      </c>
      <c r="BE39" s="96">
        <v>0.13</v>
      </c>
      <c r="BF39" s="96">
        <v>10.18</v>
      </c>
      <c r="BG39" s="96">
        <v>0.11</v>
      </c>
      <c r="BH39" s="96">
        <v>0</v>
      </c>
      <c r="BI39" s="96">
        <v>0.02</v>
      </c>
      <c r="BJ39" s="96">
        <v>41.24</v>
      </c>
      <c r="BK39" s="96">
        <v>96.34</v>
      </c>
      <c r="BM39" s="98">
        <v>0.1</v>
      </c>
      <c r="BN39" s="98">
        <v>0.1</v>
      </c>
      <c r="BO39" s="98">
        <v>0.2</v>
      </c>
      <c r="BP39" s="98">
        <v>0.1</v>
      </c>
      <c r="BQ39" s="98">
        <v>0.28999999999999998</v>
      </c>
      <c r="BR39" s="98">
        <v>0.04</v>
      </c>
      <c r="BS39" s="98">
        <v>0.16</v>
      </c>
      <c r="BT39" s="98">
        <v>0.04</v>
      </c>
      <c r="BU39" s="98">
        <v>0.06</v>
      </c>
      <c r="BV39" s="98">
        <v>0.34</v>
      </c>
      <c r="BW39" s="98">
        <v>0.02</v>
      </c>
      <c r="BX39" s="98">
        <v>0.01</v>
      </c>
      <c r="BY39" s="98">
        <v>0.03</v>
      </c>
    </row>
    <row r="40" spans="1:77" ht="14" customHeight="1">
      <c r="A40" s="2" t="s">
        <v>1282</v>
      </c>
      <c r="B40" s="96">
        <v>50.05</v>
      </c>
      <c r="C40" s="96">
        <v>0.42</v>
      </c>
      <c r="D40" s="96">
        <v>3.97</v>
      </c>
      <c r="E40" s="96">
        <v>0.05</v>
      </c>
      <c r="F40" s="96">
        <v>12.38</v>
      </c>
      <c r="G40" s="96">
        <v>0.15</v>
      </c>
      <c r="H40" s="96">
        <v>16.53</v>
      </c>
      <c r="I40" s="96">
        <v>11.63</v>
      </c>
      <c r="J40" s="96">
        <v>0.71</v>
      </c>
      <c r="K40" s="96">
        <v>0.28999999999999998</v>
      </c>
      <c r="L40" s="96">
        <v>-0.01</v>
      </c>
      <c r="M40" s="96">
        <v>0.1</v>
      </c>
      <c r="N40" s="96">
        <v>0.05</v>
      </c>
      <c r="O40" s="96">
        <v>0</v>
      </c>
      <c r="P40" s="96">
        <v>96.27</v>
      </c>
      <c r="Q40" s="96"/>
      <c r="R40" s="99">
        <v>774.66353727647652</v>
      </c>
      <c r="S40" s="99">
        <v>22</v>
      </c>
      <c r="T40" s="96">
        <v>2.4802622866013779</v>
      </c>
      <c r="U40" s="96">
        <f t="shared" si="1"/>
        <v>3.1702622866013779</v>
      </c>
      <c r="V40" s="96">
        <v>-11.951895761113978</v>
      </c>
      <c r="W40" s="96">
        <v>0.4</v>
      </c>
      <c r="X40" s="96">
        <v>0.68360159770796092</v>
      </c>
      <c r="Y40" s="96">
        <f t="shared" si="10"/>
        <v>1.1912467175082675</v>
      </c>
      <c r="Z40" s="96">
        <f t="shared" si="2"/>
        <v>0.1905994748013228</v>
      </c>
      <c r="AA40" s="96" t="s">
        <v>1253</v>
      </c>
      <c r="AB40" s="96" t="s">
        <v>1254</v>
      </c>
      <c r="AC40" s="96">
        <v>7.3124329555755967</v>
      </c>
      <c r="AD40" s="96">
        <v>0.86695207907698491</v>
      </c>
      <c r="AE40" s="96" t="s">
        <v>1254</v>
      </c>
      <c r="AF40" s="96">
        <v>0.63472524958969334</v>
      </c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>
        <v>-0.01</v>
      </c>
      <c r="AX40" s="96">
        <v>0.53</v>
      </c>
      <c r="AY40" s="96">
        <v>9.9700000000000006</v>
      </c>
      <c r="AZ40" s="96">
        <v>2.1</v>
      </c>
      <c r="BA40" s="96">
        <v>23.39</v>
      </c>
      <c r="BB40" s="96">
        <v>0.24</v>
      </c>
      <c r="BC40" s="96">
        <v>8.31</v>
      </c>
      <c r="BD40" s="96">
        <v>0.25</v>
      </c>
      <c r="BE40" s="96">
        <v>0.12</v>
      </c>
      <c r="BF40" s="96">
        <v>9.6199999999999992</v>
      </c>
      <c r="BG40" s="96">
        <v>0.1</v>
      </c>
      <c r="BH40" s="96">
        <v>0</v>
      </c>
      <c r="BI40" s="96">
        <v>0.03</v>
      </c>
      <c r="BJ40" s="96">
        <v>41.61</v>
      </c>
      <c r="BK40" s="96">
        <v>96.26</v>
      </c>
      <c r="BM40" s="98">
        <v>0.1</v>
      </c>
      <c r="BN40" s="98">
        <v>7.0000000000000007E-2</v>
      </c>
      <c r="BO40" s="98">
        <v>0.21</v>
      </c>
      <c r="BP40" s="98">
        <v>0.08</v>
      </c>
      <c r="BQ40" s="98">
        <v>0.3</v>
      </c>
      <c r="BR40" s="98">
        <v>0.04</v>
      </c>
      <c r="BS40" s="98">
        <v>0.16</v>
      </c>
      <c r="BT40" s="98">
        <v>0.03</v>
      </c>
      <c r="BU40" s="98">
        <v>0.06</v>
      </c>
      <c r="BV40" s="98">
        <v>0.33</v>
      </c>
      <c r="BW40" s="98">
        <v>0.02</v>
      </c>
      <c r="BX40" s="98">
        <v>0.01</v>
      </c>
      <c r="BY40" s="98">
        <v>0.03</v>
      </c>
    </row>
    <row r="41" spans="1:77" ht="14" customHeight="1">
      <c r="A41" s="2" t="s">
        <v>1283</v>
      </c>
      <c r="B41" s="96">
        <v>49.07</v>
      </c>
      <c r="C41" s="96">
        <v>0.92</v>
      </c>
      <c r="D41" s="96">
        <v>4.6500000000000004</v>
      </c>
      <c r="E41" s="96">
        <v>0.03</v>
      </c>
      <c r="F41" s="96">
        <v>12.47</v>
      </c>
      <c r="G41" s="96">
        <v>0.22</v>
      </c>
      <c r="H41" s="96">
        <v>16.04</v>
      </c>
      <c r="I41" s="96">
        <v>11.69</v>
      </c>
      <c r="J41" s="96">
        <v>0.91</v>
      </c>
      <c r="K41" s="96">
        <v>0.41</v>
      </c>
      <c r="L41" s="96">
        <v>0.04</v>
      </c>
      <c r="M41" s="96">
        <v>0.14000000000000001</v>
      </c>
      <c r="N41" s="96">
        <v>0.03</v>
      </c>
      <c r="O41" s="96">
        <v>0.01</v>
      </c>
      <c r="P41" s="96">
        <v>96.6</v>
      </c>
      <c r="Q41" s="96"/>
      <c r="R41" s="99">
        <v>796.70596640758572</v>
      </c>
      <c r="S41" s="99">
        <v>22</v>
      </c>
      <c r="T41" s="96">
        <v>2.1449359817812939</v>
      </c>
      <c r="U41" s="96">
        <f t="shared" si="1"/>
        <v>2.8349359817812938</v>
      </c>
      <c r="V41" s="96">
        <v>-11.802244334540077</v>
      </c>
      <c r="W41" s="96">
        <v>0.4</v>
      </c>
      <c r="X41" s="96">
        <v>0.80343113139756872</v>
      </c>
      <c r="Y41" s="96">
        <f t="shared" si="10"/>
        <v>1.4082097794768786</v>
      </c>
      <c r="Z41" s="96">
        <f t="shared" si="2"/>
        <v>0.2253135647163006</v>
      </c>
      <c r="AA41" s="96" t="s">
        <v>1253</v>
      </c>
      <c r="AB41" s="96" t="s">
        <v>1254</v>
      </c>
      <c r="AC41" s="96">
        <v>7.1937777125360283</v>
      </c>
      <c r="AD41" s="96">
        <v>0.83507140338700203</v>
      </c>
      <c r="AE41" s="96" t="s">
        <v>1254</v>
      </c>
      <c r="AF41" s="96">
        <v>0.54713922433330653</v>
      </c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>
        <v>0.04</v>
      </c>
      <c r="AX41" s="96">
        <v>0.68</v>
      </c>
      <c r="AY41" s="96">
        <v>9.67</v>
      </c>
      <c r="AZ41" s="96">
        <v>2.46</v>
      </c>
      <c r="BA41" s="96">
        <v>22.94</v>
      </c>
      <c r="BB41" s="96">
        <v>0.34</v>
      </c>
      <c r="BC41" s="96">
        <v>8.35</v>
      </c>
      <c r="BD41" s="96">
        <v>0.55000000000000004</v>
      </c>
      <c r="BE41" s="96">
        <v>0.17</v>
      </c>
      <c r="BF41" s="96">
        <v>9.69</v>
      </c>
      <c r="BG41" s="96">
        <v>0.14000000000000001</v>
      </c>
      <c r="BH41" s="96">
        <v>0</v>
      </c>
      <c r="BI41" s="96">
        <v>0.02</v>
      </c>
      <c r="BJ41" s="96">
        <v>41.54</v>
      </c>
      <c r="BK41" s="96">
        <v>96.6</v>
      </c>
      <c r="BM41" s="98">
        <v>0.1</v>
      </c>
      <c r="BN41" s="98">
        <v>0.08</v>
      </c>
      <c r="BO41" s="98">
        <v>0.21</v>
      </c>
      <c r="BP41" s="98">
        <v>0.09</v>
      </c>
      <c r="BQ41" s="98">
        <v>0.3</v>
      </c>
      <c r="BR41" s="98">
        <v>0.04</v>
      </c>
      <c r="BS41" s="98">
        <v>0.16</v>
      </c>
      <c r="BT41" s="98">
        <v>0.04</v>
      </c>
      <c r="BU41" s="98">
        <v>0.06</v>
      </c>
      <c r="BV41" s="98">
        <v>0.33</v>
      </c>
      <c r="BW41" s="98">
        <v>0.03</v>
      </c>
      <c r="BX41" s="98">
        <v>0.02</v>
      </c>
      <c r="BY41" s="98">
        <v>0.03</v>
      </c>
    </row>
    <row r="42" spans="1:77" ht="14" customHeight="1">
      <c r="A42" s="2" t="s">
        <v>1284</v>
      </c>
      <c r="B42" s="96">
        <v>48.62</v>
      </c>
      <c r="C42" s="96">
        <v>1.05</v>
      </c>
      <c r="D42" s="96">
        <v>4.72</v>
      </c>
      <c r="E42" s="96">
        <v>0.03</v>
      </c>
      <c r="F42" s="96">
        <v>12.92</v>
      </c>
      <c r="G42" s="96">
        <v>0.16</v>
      </c>
      <c r="H42" s="96">
        <v>15.68</v>
      </c>
      <c r="I42" s="96">
        <v>11.73</v>
      </c>
      <c r="J42" s="96">
        <v>0.86</v>
      </c>
      <c r="K42" s="96">
        <v>0.44</v>
      </c>
      <c r="L42" s="96">
        <v>-0.01</v>
      </c>
      <c r="M42" s="96">
        <v>0.16</v>
      </c>
      <c r="N42" s="96">
        <v>0.03</v>
      </c>
      <c r="O42" s="96">
        <v>-0.01</v>
      </c>
      <c r="P42" s="96">
        <v>96.37</v>
      </c>
      <c r="Q42" s="96"/>
      <c r="R42" s="99">
        <v>796.70327795005255</v>
      </c>
      <c r="S42" s="99">
        <v>22</v>
      </c>
      <c r="T42" s="96">
        <v>2.3837360793067379</v>
      </c>
      <c r="U42" s="96">
        <f t="shared" si="1"/>
        <v>3.0737360793067379</v>
      </c>
      <c r="V42" s="96">
        <v>-11.563263685979379</v>
      </c>
      <c r="W42" s="96">
        <v>0.4</v>
      </c>
      <c r="X42" s="96">
        <v>0.8097131089983346</v>
      </c>
      <c r="Y42" s="96">
        <f t="shared" si="10"/>
        <v>1.420372181367779</v>
      </c>
      <c r="Z42" s="96">
        <f t="shared" si="2"/>
        <v>0.22725954901884465</v>
      </c>
      <c r="AA42" s="96" t="s">
        <v>1253</v>
      </c>
      <c r="AB42" s="96" t="s">
        <v>1254</v>
      </c>
      <c r="AC42" s="96">
        <v>7.0770029953578408</v>
      </c>
      <c r="AD42" s="96">
        <v>0.81882643017167189</v>
      </c>
      <c r="AE42" s="96" t="s">
        <v>1254</v>
      </c>
      <c r="AF42" s="96">
        <v>0.52132474448675492</v>
      </c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>
        <v>-0.01</v>
      </c>
      <c r="AX42" s="96">
        <v>0.63</v>
      </c>
      <c r="AY42" s="96">
        <v>9.4600000000000009</v>
      </c>
      <c r="AZ42" s="96">
        <v>2.5</v>
      </c>
      <c r="BA42" s="96">
        <v>22.73</v>
      </c>
      <c r="BB42" s="96">
        <v>0.36</v>
      </c>
      <c r="BC42" s="96">
        <v>8.3800000000000008</v>
      </c>
      <c r="BD42" s="96">
        <v>0.63</v>
      </c>
      <c r="BE42" s="96">
        <v>0.13</v>
      </c>
      <c r="BF42" s="96">
        <v>10.039999999999999</v>
      </c>
      <c r="BG42" s="96">
        <v>0.16</v>
      </c>
      <c r="BH42" s="96">
        <v>-0.01</v>
      </c>
      <c r="BI42" s="96">
        <v>0.02</v>
      </c>
      <c r="BJ42" s="96">
        <v>41.32</v>
      </c>
      <c r="BK42" s="96">
        <v>96.34</v>
      </c>
      <c r="BM42" s="98">
        <v>0.1</v>
      </c>
      <c r="BN42" s="98">
        <v>0.08</v>
      </c>
      <c r="BO42" s="98">
        <v>0.21</v>
      </c>
      <c r="BP42" s="98">
        <v>0.09</v>
      </c>
      <c r="BQ42" s="98">
        <v>0.3</v>
      </c>
      <c r="BR42" s="98">
        <v>0.04</v>
      </c>
      <c r="BS42" s="98">
        <v>0.16</v>
      </c>
      <c r="BT42" s="98">
        <v>0.04</v>
      </c>
      <c r="BU42" s="98">
        <v>0.06</v>
      </c>
      <c r="BV42" s="98">
        <v>0.33</v>
      </c>
      <c r="BW42" s="98">
        <v>0.03</v>
      </c>
      <c r="BX42" s="98">
        <v>0.01</v>
      </c>
      <c r="BY42" s="98">
        <v>0.03</v>
      </c>
    </row>
    <row r="43" spans="1:77" ht="14" customHeight="1">
      <c r="A43" s="2" t="s">
        <v>1285</v>
      </c>
      <c r="B43" s="96">
        <v>46.71</v>
      </c>
      <c r="C43" s="96">
        <v>1.42</v>
      </c>
      <c r="D43" s="96">
        <v>6.02</v>
      </c>
      <c r="E43" s="96">
        <v>0.02</v>
      </c>
      <c r="F43" s="96">
        <v>13.29</v>
      </c>
      <c r="G43" s="96">
        <v>0.15</v>
      </c>
      <c r="H43" s="96">
        <v>15.01</v>
      </c>
      <c r="I43" s="96">
        <v>11.44</v>
      </c>
      <c r="J43" s="96">
        <v>1.33</v>
      </c>
      <c r="K43" s="96">
        <v>0.47</v>
      </c>
      <c r="L43" s="96">
        <v>7.0000000000000007E-2</v>
      </c>
      <c r="M43" s="96">
        <v>0.16</v>
      </c>
      <c r="N43" s="96">
        <v>0.02</v>
      </c>
      <c r="O43" s="96">
        <v>0.01</v>
      </c>
      <c r="P43" s="96">
        <v>96.11</v>
      </c>
      <c r="Q43" s="96"/>
      <c r="R43" s="99">
        <v>832.0029254940996</v>
      </c>
      <c r="S43" s="99">
        <v>22</v>
      </c>
      <c r="T43" s="96">
        <v>2.0045258348310124</v>
      </c>
      <c r="U43" s="96">
        <f t="shared" si="1"/>
        <v>2.6945258348310124</v>
      </c>
      <c r="V43" s="96">
        <v>-11.202818411933462</v>
      </c>
      <c r="W43" s="96">
        <v>0.4</v>
      </c>
      <c r="X43" s="96">
        <v>1.0421248390052265</v>
      </c>
      <c r="Y43" s="96">
        <f t="shared" si="10"/>
        <v>1.9255373808820408</v>
      </c>
      <c r="Z43" s="96">
        <f t="shared" si="2"/>
        <v>0.30808598094112655</v>
      </c>
      <c r="AA43" s="96" t="s">
        <v>1253</v>
      </c>
      <c r="AB43" s="96" t="s">
        <v>1254</v>
      </c>
      <c r="AC43" s="96">
        <v>6.8608571436524217</v>
      </c>
      <c r="AD43" s="96">
        <v>0.8082293019996436</v>
      </c>
      <c r="AE43" s="96" t="s">
        <v>1254</v>
      </c>
      <c r="AF43" s="96">
        <v>0.52229717175583867</v>
      </c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>
        <v>7.0000000000000007E-2</v>
      </c>
      <c r="AX43" s="96">
        <v>0.99</v>
      </c>
      <c r="AY43" s="96">
        <v>9.0500000000000007</v>
      </c>
      <c r="AZ43" s="96">
        <v>3.19</v>
      </c>
      <c r="BA43" s="96">
        <v>21.84</v>
      </c>
      <c r="BB43" s="96">
        <v>0.39</v>
      </c>
      <c r="BC43" s="96">
        <v>8.18</v>
      </c>
      <c r="BD43" s="96">
        <v>0.85</v>
      </c>
      <c r="BE43" s="96">
        <v>0.12</v>
      </c>
      <c r="BF43" s="96">
        <v>10.33</v>
      </c>
      <c r="BG43" s="96">
        <v>0.16</v>
      </c>
      <c r="BH43" s="96">
        <v>0.01</v>
      </c>
      <c r="BI43" s="96">
        <v>0.01</v>
      </c>
      <c r="BJ43" s="96">
        <v>40.94</v>
      </c>
      <c r="BK43" s="96">
        <v>96.11</v>
      </c>
      <c r="BM43" s="98">
        <v>0.1</v>
      </c>
      <c r="BN43" s="98">
        <v>0.1</v>
      </c>
      <c r="BO43" s="98">
        <v>0.2</v>
      </c>
      <c r="BP43" s="98">
        <v>0.1</v>
      </c>
      <c r="BQ43" s="98">
        <v>0.28999999999999998</v>
      </c>
      <c r="BR43" s="98">
        <v>0.04</v>
      </c>
      <c r="BS43" s="98">
        <v>0.16</v>
      </c>
      <c r="BT43" s="98">
        <v>0.05</v>
      </c>
      <c r="BU43" s="98">
        <v>0.06</v>
      </c>
      <c r="BV43" s="98">
        <v>0.34</v>
      </c>
      <c r="BW43" s="98">
        <v>0.03</v>
      </c>
      <c r="BX43" s="98">
        <v>0.01</v>
      </c>
      <c r="BY43" s="98">
        <v>0.03</v>
      </c>
    </row>
    <row r="44" spans="1:77" ht="14" customHeight="1">
      <c r="A44" s="2" t="s">
        <v>1286</v>
      </c>
      <c r="B44" s="96">
        <v>48.94</v>
      </c>
      <c r="C44" s="96">
        <v>1.02</v>
      </c>
      <c r="D44" s="96">
        <v>4.55</v>
      </c>
      <c r="E44" s="96">
        <v>0.02</v>
      </c>
      <c r="F44" s="96">
        <v>11.79</v>
      </c>
      <c r="G44" s="96">
        <v>0.12</v>
      </c>
      <c r="H44" s="96">
        <v>16.39</v>
      </c>
      <c r="I44" s="96">
        <v>11.64</v>
      </c>
      <c r="J44" s="96">
        <v>0.98</v>
      </c>
      <c r="K44" s="96">
        <v>0.38</v>
      </c>
      <c r="L44" s="96">
        <v>0.12</v>
      </c>
      <c r="M44" s="96">
        <v>0.15</v>
      </c>
      <c r="N44" s="96">
        <v>0.02</v>
      </c>
      <c r="O44" s="96">
        <v>0</v>
      </c>
      <c r="P44" s="96">
        <v>96.1</v>
      </c>
      <c r="Q44" s="96"/>
      <c r="R44" s="99">
        <v>795.26068115349358</v>
      </c>
      <c r="S44" s="99">
        <v>22</v>
      </c>
      <c r="T44" s="96">
        <v>2.574343929682116</v>
      </c>
      <c r="U44" s="96">
        <f t="shared" si="1"/>
        <v>3.264343929682116</v>
      </c>
      <c r="V44" s="96">
        <v>-11.404646968296866</v>
      </c>
      <c r="W44" s="96">
        <v>0.4</v>
      </c>
      <c r="X44" s="96">
        <v>0.77907779838562297</v>
      </c>
      <c r="Y44" s="96">
        <f t="shared" si="10"/>
        <v>1.3618021561233435</v>
      </c>
      <c r="Z44" s="96">
        <f t="shared" si="2"/>
        <v>0.21788834497973497</v>
      </c>
      <c r="AA44" s="96" t="s">
        <v>1253</v>
      </c>
      <c r="AB44" s="96" t="s">
        <v>1254</v>
      </c>
      <c r="AC44" s="96">
        <v>7.1101481471261776</v>
      </c>
      <c r="AD44" s="96">
        <v>0.84983862347461425</v>
      </c>
      <c r="AE44" s="96" t="s">
        <v>1254</v>
      </c>
      <c r="AF44" s="96">
        <v>0.56213385458889986</v>
      </c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>
        <v>0.12</v>
      </c>
      <c r="AX44" s="96">
        <v>0.72</v>
      </c>
      <c r="AY44" s="96">
        <v>9.89</v>
      </c>
      <c r="AZ44" s="96">
        <v>2.41</v>
      </c>
      <c r="BA44" s="96">
        <v>22.87</v>
      </c>
      <c r="BB44" s="96">
        <v>0.32</v>
      </c>
      <c r="BC44" s="96">
        <v>8.32</v>
      </c>
      <c r="BD44" s="96">
        <v>0.61</v>
      </c>
      <c r="BE44" s="96">
        <v>0.09</v>
      </c>
      <c r="BF44" s="96">
        <v>9.17</v>
      </c>
      <c r="BG44" s="96">
        <v>0.15</v>
      </c>
      <c r="BH44" s="96">
        <v>0</v>
      </c>
      <c r="BI44" s="96">
        <v>0.01</v>
      </c>
      <c r="BJ44" s="96">
        <v>41.42</v>
      </c>
      <c r="BK44" s="96">
        <v>96.1</v>
      </c>
      <c r="BM44" s="98">
        <v>0.1</v>
      </c>
      <c r="BN44" s="98">
        <v>0.08</v>
      </c>
      <c r="BO44" s="98">
        <v>0.21</v>
      </c>
      <c r="BP44" s="98">
        <v>0.09</v>
      </c>
      <c r="BQ44" s="98">
        <v>0.3</v>
      </c>
      <c r="BR44" s="98">
        <v>0.04</v>
      </c>
      <c r="BS44" s="98">
        <v>0.16</v>
      </c>
      <c r="BT44" s="98">
        <v>0.04</v>
      </c>
      <c r="BU44" s="98">
        <v>0.06</v>
      </c>
      <c r="BV44" s="98">
        <v>0.32</v>
      </c>
      <c r="BW44" s="98">
        <v>0.03</v>
      </c>
      <c r="BX44" s="98">
        <v>0.01</v>
      </c>
      <c r="BY44" s="98">
        <v>0.03</v>
      </c>
    </row>
    <row r="45" spans="1:77" ht="14" customHeight="1">
      <c r="A45" s="2" t="s">
        <v>1287</v>
      </c>
      <c r="B45" s="96">
        <v>47.37</v>
      </c>
      <c r="C45" s="96">
        <v>1.41</v>
      </c>
      <c r="D45" s="96">
        <v>5.64</v>
      </c>
      <c r="E45" s="96">
        <v>0.06</v>
      </c>
      <c r="F45" s="96">
        <v>12.77</v>
      </c>
      <c r="G45" s="96">
        <v>0.16</v>
      </c>
      <c r="H45" s="96">
        <v>15.53</v>
      </c>
      <c r="I45" s="96">
        <v>11.45</v>
      </c>
      <c r="J45" s="96">
        <v>1.24</v>
      </c>
      <c r="K45" s="96">
        <v>0.37</v>
      </c>
      <c r="L45" s="96">
        <v>7.0000000000000007E-2</v>
      </c>
      <c r="M45" s="96">
        <v>0.17</v>
      </c>
      <c r="N45" s="96">
        <v>0.06</v>
      </c>
      <c r="O45" s="96">
        <v>0</v>
      </c>
      <c r="P45" s="96">
        <v>96.24</v>
      </c>
      <c r="Q45" s="96"/>
      <c r="R45" s="99">
        <v>828.26790581408727</v>
      </c>
      <c r="S45" s="99">
        <v>22</v>
      </c>
      <c r="T45" s="96">
        <v>2.220604234941673</v>
      </c>
      <c r="U45" s="96">
        <f t="shared" si="1"/>
        <v>2.910604234941673</v>
      </c>
      <c r="V45" s="96">
        <v>-11.065195352221707</v>
      </c>
      <c r="W45" s="96">
        <v>0.4</v>
      </c>
      <c r="X45" s="96">
        <v>0.96993138461886974</v>
      </c>
      <c r="Y45" s="96">
        <f t="shared" si="10"/>
        <v>1.7571103447231802</v>
      </c>
      <c r="Z45" s="96">
        <f t="shared" si="2"/>
        <v>0.28113765515570882</v>
      </c>
      <c r="AA45" s="96" t="s">
        <v>1253</v>
      </c>
      <c r="AB45" s="96" t="s">
        <v>1254</v>
      </c>
      <c r="AC45" s="96">
        <v>6.9121084913457018</v>
      </c>
      <c r="AD45" s="96">
        <v>0.83477168032134141</v>
      </c>
      <c r="AE45" s="96" t="s">
        <v>1254</v>
      </c>
      <c r="AF45" s="96">
        <v>0.57090665261617468</v>
      </c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>
        <v>7.0000000000000007E-2</v>
      </c>
      <c r="AX45" s="96">
        <v>0.92</v>
      </c>
      <c r="AY45" s="96">
        <v>9.36</v>
      </c>
      <c r="AZ45" s="96">
        <v>2.99</v>
      </c>
      <c r="BA45" s="96">
        <v>22.14</v>
      </c>
      <c r="BB45" s="96">
        <v>0.31</v>
      </c>
      <c r="BC45" s="96">
        <v>8.19</v>
      </c>
      <c r="BD45" s="96">
        <v>0.84</v>
      </c>
      <c r="BE45" s="96">
        <v>0.13</v>
      </c>
      <c r="BF45" s="96">
        <v>9.92</v>
      </c>
      <c r="BG45" s="96">
        <v>0.17</v>
      </c>
      <c r="BH45" s="96">
        <v>0</v>
      </c>
      <c r="BI45" s="96">
        <v>0.04</v>
      </c>
      <c r="BJ45" s="96">
        <v>41.16</v>
      </c>
      <c r="BK45" s="96">
        <v>96.24</v>
      </c>
      <c r="BM45" s="98">
        <v>0.1</v>
      </c>
      <c r="BN45" s="98">
        <v>0.1</v>
      </c>
      <c r="BO45" s="98">
        <v>0.2</v>
      </c>
      <c r="BP45" s="98">
        <v>0.1</v>
      </c>
      <c r="BQ45" s="98">
        <v>0.28999999999999998</v>
      </c>
      <c r="BR45" s="98">
        <v>0.04</v>
      </c>
      <c r="BS45" s="98">
        <v>0.16</v>
      </c>
      <c r="BT45" s="98">
        <v>0.05</v>
      </c>
      <c r="BU45" s="98">
        <v>0.06</v>
      </c>
      <c r="BV45" s="98">
        <v>0.33</v>
      </c>
      <c r="BW45" s="98">
        <v>0.03</v>
      </c>
      <c r="BX45" s="98">
        <v>0.01</v>
      </c>
      <c r="BY45" s="98">
        <v>0.03</v>
      </c>
    </row>
    <row r="46" spans="1:77" s="29" customFormat="1" ht="14" customHeight="1"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60">
        <f>AVERAGE(R34:R45)</f>
        <v>809.05390502406817</v>
      </c>
      <c r="S46" s="160"/>
      <c r="T46" s="159">
        <f>AVERAGE(T34:T45)</f>
        <v>2.2397000778180032</v>
      </c>
      <c r="U46" s="159">
        <f>AVERAGE(U34:U45)</f>
        <v>2.9297000778180027</v>
      </c>
      <c r="V46" s="159">
        <f>AVERAGE(V34:V45)</f>
        <v>-11.448142947219887</v>
      </c>
      <c r="W46" s="160"/>
      <c r="X46" s="96"/>
      <c r="Y46" s="159">
        <f t="shared" ref="Y46" si="11">AVERAGE(Y34:Y45)</f>
        <v>1.6493271926680073</v>
      </c>
      <c r="Z46" s="96"/>
      <c r="AA46" s="159"/>
      <c r="AB46" s="159"/>
      <c r="AC46" s="96"/>
      <c r="AD46" s="96"/>
      <c r="AE46" s="159"/>
      <c r="AF46" s="96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59"/>
      <c r="BB46" s="159"/>
      <c r="BC46" s="159"/>
      <c r="BD46" s="159"/>
      <c r="BE46" s="159"/>
      <c r="BF46" s="159"/>
      <c r="BG46" s="159"/>
      <c r="BH46" s="159"/>
      <c r="BI46" s="159"/>
      <c r="BJ46" s="159"/>
      <c r="BK46" s="159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</row>
    <row r="47" spans="1:77" s="29" customFormat="1" ht="14" customHeight="1"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60">
        <f>_xlfn.STDEV.S(R34:R45)</f>
        <v>18.598158160768762</v>
      </c>
      <c r="S47" s="160"/>
      <c r="T47" s="159">
        <f>_xlfn.STDEV.S(T34:T45)</f>
        <v>0.19941246736357029</v>
      </c>
      <c r="U47" s="159">
        <f>_xlfn.STDEV.S(U34:U45)</f>
        <v>0.19941246736357029</v>
      </c>
      <c r="V47" s="159">
        <f>_xlfn.STDEV.S(V34:V45)</f>
        <v>0.28076622221145248</v>
      </c>
      <c r="W47" s="160"/>
      <c r="X47" s="96"/>
      <c r="Y47" s="159">
        <f t="shared" ref="Y47" si="12">_xlfn.STDEV.S(Y34:Y45)</f>
        <v>0.27098636516457825</v>
      </c>
      <c r="Z47" s="96"/>
      <c r="AA47" s="159"/>
      <c r="AB47" s="159"/>
      <c r="AC47" s="96"/>
      <c r="AD47" s="96"/>
      <c r="AE47" s="159"/>
      <c r="AF47" s="96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59"/>
      <c r="BC47" s="159"/>
      <c r="BD47" s="159"/>
      <c r="BE47" s="159"/>
      <c r="BF47" s="159"/>
      <c r="BG47" s="159"/>
      <c r="BH47" s="159"/>
      <c r="BI47" s="159"/>
      <c r="BJ47" s="159"/>
      <c r="BK47" s="159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</row>
    <row r="48" spans="1:77" ht="14" customHeight="1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9"/>
      <c r="S48" s="99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</row>
    <row r="49" spans="1:77" ht="14" customHeight="1">
      <c r="A49" s="2" t="s">
        <v>1288</v>
      </c>
      <c r="B49" s="96">
        <v>49.07</v>
      </c>
      <c r="C49" s="96">
        <v>1.02</v>
      </c>
      <c r="D49" s="96">
        <v>5.56</v>
      </c>
      <c r="E49" s="96">
        <v>0.01</v>
      </c>
      <c r="F49" s="96">
        <v>13.03</v>
      </c>
      <c r="G49" s="96">
        <v>0.19</v>
      </c>
      <c r="H49" s="96">
        <v>16.04</v>
      </c>
      <c r="I49" s="96">
        <v>11.08</v>
      </c>
      <c r="J49" s="96">
        <v>0.97</v>
      </c>
      <c r="K49" s="96">
        <v>0.32</v>
      </c>
      <c r="L49" s="96">
        <v>0.05</v>
      </c>
      <c r="M49" s="96">
        <v>0.13</v>
      </c>
      <c r="N49" s="96">
        <v>0.01</v>
      </c>
      <c r="O49" s="96">
        <v>-0.01</v>
      </c>
      <c r="P49" s="96">
        <v>97.47</v>
      </c>
      <c r="Q49" s="96"/>
      <c r="R49" s="99">
        <v>800.84004442183436</v>
      </c>
      <c r="S49" s="99">
        <v>22</v>
      </c>
      <c r="T49" s="96">
        <v>2.4434103782161989</v>
      </c>
      <c r="U49" s="96">
        <f t="shared" si="1"/>
        <v>3.1334103782161988</v>
      </c>
      <c r="V49" s="96">
        <v>-11.410507652034649</v>
      </c>
      <c r="W49" s="96">
        <v>0.4</v>
      </c>
      <c r="X49" s="96">
        <v>0.93235445064079081</v>
      </c>
      <c r="Y49" s="96">
        <f t="shared" ref="Y49:Y58" si="13">0.5+0.331*X49+0.995*X49^2</f>
        <v>1.673547720683644</v>
      </c>
      <c r="Z49" s="96">
        <f t="shared" si="2"/>
        <v>0.26776763530938302</v>
      </c>
      <c r="AA49" s="96" t="s">
        <v>1253</v>
      </c>
      <c r="AB49" s="96" t="s">
        <v>1254</v>
      </c>
      <c r="AC49" s="96">
        <v>6.9818026351797871</v>
      </c>
      <c r="AD49" s="96">
        <v>0.90200613607747271</v>
      </c>
      <c r="AE49" s="96" t="s">
        <v>1254</v>
      </c>
      <c r="AF49" s="96">
        <v>0.76160135510742077</v>
      </c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>
        <v>0.05</v>
      </c>
      <c r="AX49" s="96">
        <v>0.72</v>
      </c>
      <c r="AY49" s="96">
        <v>9.67</v>
      </c>
      <c r="AZ49" s="96">
        <v>2.94</v>
      </c>
      <c r="BA49" s="96">
        <v>22.94</v>
      </c>
      <c r="BB49" s="96">
        <v>0.26</v>
      </c>
      <c r="BC49" s="96">
        <v>7.92</v>
      </c>
      <c r="BD49" s="96">
        <v>0.61</v>
      </c>
      <c r="BE49" s="96">
        <v>0.15</v>
      </c>
      <c r="BF49" s="96">
        <v>10.130000000000001</v>
      </c>
      <c r="BG49" s="96">
        <v>0.13</v>
      </c>
      <c r="BH49" s="96">
        <v>0</v>
      </c>
      <c r="BI49" s="96">
        <v>0.01</v>
      </c>
      <c r="BJ49" s="96">
        <v>41.94</v>
      </c>
      <c r="BK49" s="96">
        <v>97.46</v>
      </c>
      <c r="BM49" s="98">
        <v>0.1</v>
      </c>
      <c r="BN49" s="98">
        <v>0.09</v>
      </c>
      <c r="BO49" s="98">
        <v>0.21</v>
      </c>
      <c r="BP49" s="98">
        <v>0.1</v>
      </c>
      <c r="BQ49" s="98">
        <v>0.3</v>
      </c>
      <c r="BR49" s="98">
        <v>0.04</v>
      </c>
      <c r="BS49" s="98">
        <v>0.16</v>
      </c>
      <c r="BT49" s="98">
        <v>0.04</v>
      </c>
      <c r="BU49" s="98">
        <v>0.06</v>
      </c>
      <c r="BV49" s="98">
        <v>0.34</v>
      </c>
      <c r="BW49" s="98">
        <v>0.03</v>
      </c>
      <c r="BX49" s="98">
        <v>0.01</v>
      </c>
      <c r="BY49" s="98">
        <v>0.03</v>
      </c>
    </row>
    <row r="50" spans="1:77" ht="14" customHeight="1">
      <c r="A50" s="2" t="s">
        <v>1289</v>
      </c>
      <c r="B50" s="96">
        <v>47.56</v>
      </c>
      <c r="C50" s="96">
        <v>1.3</v>
      </c>
      <c r="D50" s="96">
        <v>6.58</v>
      </c>
      <c r="E50" s="96">
        <v>0.01</v>
      </c>
      <c r="F50" s="96">
        <v>13.66</v>
      </c>
      <c r="G50" s="96">
        <v>0.15</v>
      </c>
      <c r="H50" s="96">
        <v>14.89</v>
      </c>
      <c r="I50" s="96">
        <v>11.21</v>
      </c>
      <c r="J50" s="96">
        <v>1.19</v>
      </c>
      <c r="K50" s="96">
        <v>0.45</v>
      </c>
      <c r="L50" s="96">
        <v>0.03</v>
      </c>
      <c r="M50" s="96">
        <v>0.14000000000000001</v>
      </c>
      <c r="N50" s="96">
        <v>0.01</v>
      </c>
      <c r="O50" s="96">
        <v>0.01</v>
      </c>
      <c r="P50" s="96">
        <v>97.18</v>
      </c>
      <c r="Q50" s="96"/>
      <c r="R50" s="99">
        <v>799.89459231478645</v>
      </c>
      <c r="S50" s="99">
        <v>22</v>
      </c>
      <c r="T50" s="96">
        <v>1.8400067589488529</v>
      </c>
      <c r="U50" s="96">
        <f t="shared" si="1"/>
        <v>2.5300067589488529</v>
      </c>
      <c r="V50" s="96">
        <v>-12.024236228071951</v>
      </c>
      <c r="W50" s="96">
        <v>0.4</v>
      </c>
      <c r="X50" s="96">
        <v>1.1195563820571532</v>
      </c>
      <c r="Y50" s="96">
        <f t="shared" si="13"/>
        <v>2.1177126226027956</v>
      </c>
      <c r="Z50" s="96">
        <f t="shared" si="2"/>
        <v>0.33883401961644732</v>
      </c>
      <c r="AA50" s="96" t="s">
        <v>1253</v>
      </c>
      <c r="AB50" s="96" t="s">
        <v>1254</v>
      </c>
      <c r="AC50" s="96">
        <v>6.8660533790755283</v>
      </c>
      <c r="AD50" s="96">
        <v>0.82748874854194676</v>
      </c>
      <c r="AE50" s="96" t="s">
        <v>1254</v>
      </c>
      <c r="AF50" s="96">
        <v>0.594907902973694</v>
      </c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>
        <v>0.03</v>
      </c>
      <c r="AX50" s="96">
        <v>0.88</v>
      </c>
      <c r="AY50" s="96">
        <v>8.98</v>
      </c>
      <c r="AZ50" s="96">
        <v>3.48</v>
      </c>
      <c r="BA50" s="96">
        <v>22.23</v>
      </c>
      <c r="BB50" s="96">
        <v>0.37</v>
      </c>
      <c r="BC50" s="96">
        <v>8.01</v>
      </c>
      <c r="BD50" s="96">
        <v>0.78</v>
      </c>
      <c r="BE50" s="96">
        <v>0.11</v>
      </c>
      <c r="BF50" s="96">
        <v>10.62</v>
      </c>
      <c r="BG50" s="96">
        <v>0.14000000000000001</v>
      </c>
      <c r="BH50" s="96">
        <v>0</v>
      </c>
      <c r="BI50" s="96">
        <v>0.01</v>
      </c>
      <c r="BJ50" s="96">
        <v>41.52</v>
      </c>
      <c r="BK50" s="96">
        <v>97.18</v>
      </c>
      <c r="BM50" s="98">
        <v>0.1</v>
      </c>
      <c r="BN50" s="98">
        <v>0.09</v>
      </c>
      <c r="BO50" s="98">
        <v>0.2</v>
      </c>
      <c r="BP50" s="98">
        <v>0.1</v>
      </c>
      <c r="BQ50" s="98">
        <v>0.28999999999999998</v>
      </c>
      <c r="BR50" s="98">
        <v>0.04</v>
      </c>
      <c r="BS50" s="98">
        <v>0.16</v>
      </c>
      <c r="BT50" s="98">
        <v>0.05</v>
      </c>
      <c r="BU50" s="98">
        <v>0.06</v>
      </c>
      <c r="BV50" s="98">
        <v>0.34</v>
      </c>
      <c r="BW50" s="98">
        <v>0.03</v>
      </c>
      <c r="BX50" s="98">
        <v>0.01</v>
      </c>
      <c r="BY50" s="98">
        <v>0.03</v>
      </c>
    </row>
    <row r="51" spans="1:77" ht="14" customHeight="1">
      <c r="A51" s="2" t="s">
        <v>1290</v>
      </c>
      <c r="B51" s="96">
        <v>50.83</v>
      </c>
      <c r="C51" s="96">
        <v>0.6</v>
      </c>
      <c r="D51" s="96">
        <v>4.38</v>
      </c>
      <c r="E51" s="96">
        <v>0.02</v>
      </c>
      <c r="F51" s="96">
        <v>12.4</v>
      </c>
      <c r="G51" s="96">
        <v>0.21</v>
      </c>
      <c r="H51" s="96">
        <v>16.600000000000001</v>
      </c>
      <c r="I51" s="96">
        <v>11.27</v>
      </c>
      <c r="J51" s="96">
        <v>0.78</v>
      </c>
      <c r="K51" s="96">
        <v>0.24</v>
      </c>
      <c r="L51" s="96">
        <v>0.05</v>
      </c>
      <c r="M51" s="96">
        <v>0.09</v>
      </c>
      <c r="N51" s="96">
        <v>0.02</v>
      </c>
      <c r="O51" s="96">
        <v>-0.01</v>
      </c>
      <c r="P51" s="96">
        <v>97.48</v>
      </c>
      <c r="Q51" s="96"/>
      <c r="R51" s="99">
        <v>787.79765717581245</v>
      </c>
      <c r="S51" s="99">
        <v>22</v>
      </c>
      <c r="T51" s="96">
        <v>2.3528686153772407</v>
      </c>
      <c r="U51" s="96">
        <f t="shared" si="1"/>
        <v>3.0428686153772406</v>
      </c>
      <c r="V51" s="96">
        <v>-11.788272056318569</v>
      </c>
      <c r="W51" s="96">
        <v>0.4</v>
      </c>
      <c r="X51" s="96">
        <v>0.74576654075440618</v>
      </c>
      <c r="Y51" s="96">
        <f t="shared" si="13"/>
        <v>1.3002356196319578</v>
      </c>
      <c r="Z51" s="96">
        <f t="shared" si="2"/>
        <v>0.20803769914111325</v>
      </c>
      <c r="AA51" s="96" t="s">
        <v>1253</v>
      </c>
      <c r="AB51" s="96" t="s">
        <v>1254</v>
      </c>
      <c r="AC51" s="96">
        <v>7.343348626934362</v>
      </c>
      <c r="AD51" s="96">
        <v>0.88987361908819329</v>
      </c>
      <c r="AE51" s="96" t="s">
        <v>1254</v>
      </c>
      <c r="AF51" s="96">
        <v>0.70467250485362187</v>
      </c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>
        <v>0.05</v>
      </c>
      <c r="AX51" s="96">
        <v>0.57999999999999996</v>
      </c>
      <c r="AY51" s="96">
        <v>10.01</v>
      </c>
      <c r="AZ51" s="96">
        <v>2.3199999999999998</v>
      </c>
      <c r="BA51" s="96">
        <v>23.76</v>
      </c>
      <c r="BB51" s="96">
        <v>0.2</v>
      </c>
      <c r="BC51" s="96">
        <v>8.06</v>
      </c>
      <c r="BD51" s="96">
        <v>0.36</v>
      </c>
      <c r="BE51" s="96">
        <v>0.16</v>
      </c>
      <c r="BF51" s="96">
        <v>9.64</v>
      </c>
      <c r="BG51" s="96">
        <v>0.09</v>
      </c>
      <c r="BH51" s="96">
        <v>0</v>
      </c>
      <c r="BI51" s="96">
        <v>0.01</v>
      </c>
      <c r="BJ51" s="96">
        <v>42.23</v>
      </c>
      <c r="BK51" s="96">
        <v>97.47</v>
      </c>
      <c r="BM51" s="98">
        <v>0.1</v>
      </c>
      <c r="BN51" s="98">
        <v>0.08</v>
      </c>
      <c r="BO51" s="98">
        <v>0.21</v>
      </c>
      <c r="BP51" s="98">
        <v>0.09</v>
      </c>
      <c r="BQ51" s="98">
        <v>0.31</v>
      </c>
      <c r="BR51" s="98">
        <v>0.03</v>
      </c>
      <c r="BS51" s="98">
        <v>0.16</v>
      </c>
      <c r="BT51" s="98">
        <v>0.03</v>
      </c>
      <c r="BU51" s="98">
        <v>0.06</v>
      </c>
      <c r="BV51" s="98">
        <v>0.33</v>
      </c>
      <c r="BW51" s="98">
        <v>0.02</v>
      </c>
      <c r="BX51" s="98">
        <v>0.01</v>
      </c>
      <c r="BY51" s="98">
        <v>0.03</v>
      </c>
    </row>
    <row r="52" spans="1:77" ht="14" customHeight="1">
      <c r="A52" s="2" t="s">
        <v>1291</v>
      </c>
      <c r="B52" s="96">
        <v>48.63</v>
      </c>
      <c r="C52" s="96">
        <v>1.0900000000000001</v>
      </c>
      <c r="D52" s="96">
        <v>5.59</v>
      </c>
      <c r="E52" s="96">
        <v>0</v>
      </c>
      <c r="F52" s="96">
        <v>12.81</v>
      </c>
      <c r="G52" s="96">
        <v>0.17</v>
      </c>
      <c r="H52" s="96">
        <v>15.58</v>
      </c>
      <c r="I52" s="96">
        <v>11.44</v>
      </c>
      <c r="J52" s="96">
        <v>0.98</v>
      </c>
      <c r="K52" s="96">
        <v>0.43</v>
      </c>
      <c r="L52" s="96">
        <v>7.0000000000000007E-2</v>
      </c>
      <c r="M52" s="96">
        <v>0.12</v>
      </c>
      <c r="N52" s="96">
        <v>0</v>
      </c>
      <c r="O52" s="96">
        <v>0.01</v>
      </c>
      <c r="P52" s="96">
        <v>96.9</v>
      </c>
      <c r="Q52" s="96"/>
      <c r="R52" s="99">
        <v>783.77677438333581</v>
      </c>
      <c r="S52" s="99">
        <v>22</v>
      </c>
      <c r="T52" s="96">
        <v>2.1500756351180446</v>
      </c>
      <c r="U52" s="96">
        <f t="shared" si="1"/>
        <v>2.8400756351180445</v>
      </c>
      <c r="V52" s="96">
        <v>-12.070384141745405</v>
      </c>
      <c r="W52" s="96">
        <v>0.4</v>
      </c>
      <c r="X52" s="96">
        <v>0.95035140249022187</v>
      </c>
      <c r="Y52" s="96">
        <f t="shared" si="13"/>
        <v>1.7132182634983195</v>
      </c>
      <c r="Z52" s="96">
        <f t="shared" si="2"/>
        <v>0.27411492215973116</v>
      </c>
      <c r="AA52" s="96" t="s">
        <v>1253</v>
      </c>
      <c r="AB52" s="96" t="s">
        <v>1254</v>
      </c>
      <c r="AC52" s="96">
        <v>7.0149072749503221</v>
      </c>
      <c r="AD52" s="96">
        <v>0.83723040394217607</v>
      </c>
      <c r="AE52" s="96" t="s">
        <v>1254</v>
      </c>
      <c r="AF52" s="96">
        <v>0.57849661977087197</v>
      </c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>
        <v>7.0000000000000007E-2</v>
      </c>
      <c r="AX52" s="96">
        <v>0.72</v>
      </c>
      <c r="AY52" s="96">
        <v>9.4</v>
      </c>
      <c r="AZ52" s="96">
        <v>2.96</v>
      </c>
      <c r="BA52" s="96">
        <v>22.73</v>
      </c>
      <c r="BB52" s="96">
        <v>0.35</v>
      </c>
      <c r="BC52" s="96">
        <v>8.17</v>
      </c>
      <c r="BD52" s="96">
        <v>0.66</v>
      </c>
      <c r="BE52" s="96">
        <v>0.13</v>
      </c>
      <c r="BF52" s="96">
        <v>9.9600000000000009</v>
      </c>
      <c r="BG52" s="96">
        <v>0.12</v>
      </c>
      <c r="BH52" s="96">
        <v>0</v>
      </c>
      <c r="BI52" s="96">
        <v>0</v>
      </c>
      <c r="BJ52" s="96">
        <v>41.63</v>
      </c>
      <c r="BK52" s="96">
        <v>96.9</v>
      </c>
      <c r="BM52" s="98">
        <v>0.1</v>
      </c>
      <c r="BN52" s="98">
        <v>0.09</v>
      </c>
      <c r="BO52" s="98">
        <v>0.2</v>
      </c>
      <c r="BP52" s="98">
        <v>0.1</v>
      </c>
      <c r="BQ52" s="98">
        <v>0.3</v>
      </c>
      <c r="BR52" s="98">
        <v>0.04</v>
      </c>
      <c r="BS52" s="98">
        <v>0.16</v>
      </c>
      <c r="BT52" s="98">
        <v>0.04</v>
      </c>
      <c r="BU52" s="98">
        <v>0.06</v>
      </c>
      <c r="BV52" s="98">
        <v>0.33</v>
      </c>
      <c r="BW52" s="98">
        <v>0.03</v>
      </c>
      <c r="BX52" s="98">
        <v>0.01</v>
      </c>
      <c r="BY52" s="98">
        <v>0.03</v>
      </c>
    </row>
    <row r="53" spans="1:77" ht="14" customHeight="1">
      <c r="A53" s="2" t="s">
        <v>1292</v>
      </c>
      <c r="B53" s="96">
        <v>49.32</v>
      </c>
      <c r="C53" s="96">
        <v>0.82</v>
      </c>
      <c r="D53" s="96">
        <v>4.8899999999999997</v>
      </c>
      <c r="E53" s="96">
        <v>0.04</v>
      </c>
      <c r="F53" s="96">
        <v>12.8</v>
      </c>
      <c r="G53" s="96">
        <v>0.21</v>
      </c>
      <c r="H53" s="96">
        <v>16.260000000000002</v>
      </c>
      <c r="I53" s="96">
        <v>11.21</v>
      </c>
      <c r="J53" s="96">
        <v>1.05</v>
      </c>
      <c r="K53" s="96">
        <v>0.27</v>
      </c>
      <c r="L53" s="96">
        <v>0.08</v>
      </c>
      <c r="M53" s="96">
        <v>0.11</v>
      </c>
      <c r="N53" s="96">
        <v>0.04</v>
      </c>
      <c r="O53" s="96">
        <v>0</v>
      </c>
      <c r="P53" s="96">
        <v>97.05</v>
      </c>
      <c r="Q53" s="96"/>
      <c r="R53" s="99">
        <v>811.51449207293854</v>
      </c>
      <c r="S53" s="99">
        <v>22</v>
      </c>
      <c r="T53" s="96">
        <v>2.2055301355329169</v>
      </c>
      <c r="U53" s="96">
        <f t="shared" si="1"/>
        <v>2.8955301355329168</v>
      </c>
      <c r="V53" s="96">
        <v>-11.428360923316387</v>
      </c>
      <c r="W53" s="96">
        <v>0.4</v>
      </c>
      <c r="X53" s="96">
        <v>0.84040764394940626</v>
      </c>
      <c r="Y53" s="96">
        <f t="shared" si="13"/>
        <v>1.4809285131158023</v>
      </c>
      <c r="Z53" s="96">
        <f t="shared" si="2"/>
        <v>0.23694856209852838</v>
      </c>
      <c r="AA53" s="96" t="s">
        <v>1253</v>
      </c>
      <c r="AB53" s="96" t="s">
        <v>1254</v>
      </c>
      <c r="AC53" s="96">
        <v>7.1919963085467966</v>
      </c>
      <c r="AD53" s="96">
        <v>0.88520147063720156</v>
      </c>
      <c r="AE53" s="96" t="s">
        <v>1254</v>
      </c>
      <c r="AF53" s="96">
        <v>0.70633025023618035</v>
      </c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>
        <v>0.08</v>
      </c>
      <c r="AX53" s="96">
        <v>0.78</v>
      </c>
      <c r="AY53" s="96">
        <v>9.8000000000000007</v>
      </c>
      <c r="AZ53" s="96">
        <v>2.59</v>
      </c>
      <c r="BA53" s="96">
        <v>23.05</v>
      </c>
      <c r="BB53" s="96">
        <v>0.22</v>
      </c>
      <c r="BC53" s="96">
        <v>8.01</v>
      </c>
      <c r="BD53" s="96">
        <v>0.49</v>
      </c>
      <c r="BE53" s="96">
        <v>0.16</v>
      </c>
      <c r="BF53" s="96">
        <v>9.9499999999999993</v>
      </c>
      <c r="BG53" s="96">
        <v>0.11</v>
      </c>
      <c r="BH53" s="96">
        <v>0</v>
      </c>
      <c r="BI53" s="96">
        <v>0.03</v>
      </c>
      <c r="BJ53" s="96">
        <v>41.78</v>
      </c>
      <c r="BK53" s="96">
        <v>97.05</v>
      </c>
      <c r="BM53" s="98">
        <v>0.1</v>
      </c>
      <c r="BN53" s="98">
        <v>0.09</v>
      </c>
      <c r="BO53" s="98">
        <v>0.21</v>
      </c>
      <c r="BP53" s="98">
        <v>0.09</v>
      </c>
      <c r="BQ53" s="98">
        <v>0.3</v>
      </c>
      <c r="BR53" s="98">
        <v>0.03</v>
      </c>
      <c r="BS53" s="98">
        <v>0.16</v>
      </c>
      <c r="BT53" s="98">
        <v>0.04</v>
      </c>
      <c r="BU53" s="98">
        <v>7.0000000000000007E-2</v>
      </c>
      <c r="BV53" s="98">
        <v>0.33</v>
      </c>
      <c r="BW53" s="98">
        <v>0.02</v>
      </c>
      <c r="BX53" s="98">
        <v>0.01</v>
      </c>
      <c r="BY53" s="98">
        <v>0.03</v>
      </c>
    </row>
    <row r="54" spans="1:77" ht="14" customHeight="1">
      <c r="A54" s="2" t="s">
        <v>1293</v>
      </c>
      <c r="B54" s="96">
        <v>50.74</v>
      </c>
      <c r="C54" s="96">
        <v>0.38</v>
      </c>
      <c r="D54" s="96">
        <v>4.1100000000000003</v>
      </c>
      <c r="E54" s="96">
        <v>0.02</v>
      </c>
      <c r="F54" s="96">
        <v>12.42</v>
      </c>
      <c r="G54" s="96">
        <v>0.15</v>
      </c>
      <c r="H54" s="96">
        <v>16.98</v>
      </c>
      <c r="I54" s="96">
        <v>11.35</v>
      </c>
      <c r="J54" s="96">
        <v>0.82</v>
      </c>
      <c r="K54" s="96">
        <v>0.22</v>
      </c>
      <c r="L54" s="96">
        <v>0.03</v>
      </c>
      <c r="M54" s="96">
        <v>0.09</v>
      </c>
      <c r="N54" s="96">
        <v>0.02</v>
      </c>
      <c r="O54" s="96">
        <v>0</v>
      </c>
      <c r="P54" s="96">
        <v>97.3</v>
      </c>
      <c r="Q54" s="96"/>
      <c r="R54" s="99">
        <v>784.75167510250185</v>
      </c>
      <c r="S54" s="99">
        <v>22</v>
      </c>
      <c r="T54" s="96">
        <v>2.5521875976064834</v>
      </c>
      <c r="U54" s="96">
        <f t="shared" si="1"/>
        <v>3.2421875976064833</v>
      </c>
      <c r="V54" s="96">
        <v>-11.656880578687</v>
      </c>
      <c r="W54" s="96">
        <v>0.4</v>
      </c>
      <c r="X54" s="96">
        <v>0.69949512918470458</v>
      </c>
      <c r="Y54" s="96">
        <f t="shared" si="13"/>
        <v>1.2183798563344981</v>
      </c>
      <c r="Z54" s="96">
        <f t="shared" si="2"/>
        <v>0.19494077701351969</v>
      </c>
      <c r="AA54" s="96" t="s">
        <v>1253</v>
      </c>
      <c r="AB54" s="96" t="s">
        <v>1254</v>
      </c>
      <c r="AC54" s="96">
        <v>7.3272091583168724</v>
      </c>
      <c r="AD54" s="96">
        <v>0.90878581975885997</v>
      </c>
      <c r="AE54" s="96" t="s">
        <v>1254</v>
      </c>
      <c r="AF54" s="96">
        <v>0.75539160874515987</v>
      </c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>
        <v>0.03</v>
      </c>
      <c r="AX54" s="96">
        <v>0.61</v>
      </c>
      <c r="AY54" s="96">
        <v>10.24</v>
      </c>
      <c r="AZ54" s="96">
        <v>2.1800000000000002</v>
      </c>
      <c r="BA54" s="96">
        <v>23.72</v>
      </c>
      <c r="BB54" s="96">
        <v>0.18</v>
      </c>
      <c r="BC54" s="96">
        <v>8.11</v>
      </c>
      <c r="BD54" s="96">
        <v>0.23</v>
      </c>
      <c r="BE54" s="96">
        <v>0.12</v>
      </c>
      <c r="BF54" s="96">
        <v>9.65</v>
      </c>
      <c r="BG54" s="96">
        <v>0.09</v>
      </c>
      <c r="BH54" s="96">
        <v>0</v>
      </c>
      <c r="BI54" s="96">
        <v>0.01</v>
      </c>
      <c r="BJ54" s="96">
        <v>42.14</v>
      </c>
      <c r="BK54" s="96">
        <v>97.3</v>
      </c>
      <c r="BM54" s="98">
        <v>0.1</v>
      </c>
      <c r="BN54" s="98">
        <v>0.08</v>
      </c>
      <c r="BO54" s="98">
        <v>0.21</v>
      </c>
      <c r="BP54" s="98">
        <v>0.08</v>
      </c>
      <c r="BQ54" s="98">
        <v>0.31</v>
      </c>
      <c r="BR54" s="98">
        <v>0.03</v>
      </c>
      <c r="BS54" s="98">
        <v>0.16</v>
      </c>
      <c r="BT54" s="98">
        <v>0.03</v>
      </c>
      <c r="BU54" s="98">
        <v>0.06</v>
      </c>
      <c r="BV54" s="98">
        <v>0.33</v>
      </c>
      <c r="BW54" s="98">
        <v>0.02</v>
      </c>
      <c r="BX54" s="98">
        <v>0.01</v>
      </c>
      <c r="BY54" s="98">
        <v>0.03</v>
      </c>
    </row>
    <row r="55" spans="1:77" ht="14" customHeight="1">
      <c r="A55" s="2" t="s">
        <v>1294</v>
      </c>
      <c r="B55" s="96">
        <v>49</v>
      </c>
      <c r="C55" s="96">
        <v>0.95</v>
      </c>
      <c r="D55" s="96">
        <v>5.05</v>
      </c>
      <c r="E55" s="96">
        <v>0</v>
      </c>
      <c r="F55" s="96">
        <v>12.77</v>
      </c>
      <c r="G55" s="96">
        <v>0.15</v>
      </c>
      <c r="H55" s="96">
        <v>16.16</v>
      </c>
      <c r="I55" s="96">
        <v>11.34</v>
      </c>
      <c r="J55" s="96">
        <v>0.95</v>
      </c>
      <c r="K55" s="96">
        <v>0.39</v>
      </c>
      <c r="L55" s="96">
        <v>0.06</v>
      </c>
      <c r="M55" s="96">
        <v>0.13</v>
      </c>
      <c r="N55" s="96">
        <v>0</v>
      </c>
      <c r="O55" s="96">
        <v>0</v>
      </c>
      <c r="P55" s="96">
        <v>96.94</v>
      </c>
      <c r="Q55" s="96"/>
      <c r="R55" s="99">
        <v>813.49976500398247</v>
      </c>
      <c r="S55" s="99">
        <v>22</v>
      </c>
      <c r="T55" s="96">
        <v>2.162962451782148</v>
      </c>
      <c r="U55" s="96">
        <f t="shared" si="1"/>
        <v>2.8529624517821479</v>
      </c>
      <c r="V55" s="96">
        <v>-11.428623300495104</v>
      </c>
      <c r="W55" s="96">
        <v>0.4</v>
      </c>
      <c r="X55" s="96">
        <v>0.8691815187481301</v>
      </c>
      <c r="Y55" s="96">
        <f t="shared" si="13"/>
        <v>1.5393982126762706</v>
      </c>
      <c r="Z55" s="96">
        <f t="shared" si="2"/>
        <v>0.24630371402820331</v>
      </c>
      <c r="AA55" s="96" t="s">
        <v>1253</v>
      </c>
      <c r="AB55" s="96" t="s">
        <v>1254</v>
      </c>
      <c r="AC55" s="96">
        <v>7.155836984691442</v>
      </c>
      <c r="AD55" s="96">
        <v>0.8732903516870113</v>
      </c>
      <c r="AE55" s="96" t="s">
        <v>1254</v>
      </c>
      <c r="AF55" s="96">
        <v>0.67269252294889836</v>
      </c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>
        <v>0.06</v>
      </c>
      <c r="AX55" s="96">
        <v>0.7</v>
      </c>
      <c r="AY55" s="96">
        <v>9.74</v>
      </c>
      <c r="AZ55" s="96">
        <v>2.67</v>
      </c>
      <c r="BA55" s="96">
        <v>22.9</v>
      </c>
      <c r="BB55" s="96">
        <v>0.33</v>
      </c>
      <c r="BC55" s="96">
        <v>8.1</v>
      </c>
      <c r="BD55" s="96">
        <v>0.56999999999999995</v>
      </c>
      <c r="BE55" s="96">
        <v>0.12</v>
      </c>
      <c r="BF55" s="96">
        <v>9.93</v>
      </c>
      <c r="BG55" s="96">
        <v>0.13</v>
      </c>
      <c r="BH55" s="96">
        <v>0</v>
      </c>
      <c r="BI55" s="96">
        <v>0</v>
      </c>
      <c r="BJ55" s="96">
        <v>41.69</v>
      </c>
      <c r="BK55" s="96">
        <v>96.94</v>
      </c>
      <c r="BM55" s="98">
        <v>0.1</v>
      </c>
      <c r="BN55" s="98">
        <v>0.08</v>
      </c>
      <c r="BO55" s="98">
        <v>0.21</v>
      </c>
      <c r="BP55" s="98">
        <v>0.09</v>
      </c>
      <c r="BQ55" s="98">
        <v>0.3</v>
      </c>
      <c r="BR55" s="98">
        <v>0.04</v>
      </c>
      <c r="BS55" s="98">
        <v>0.16</v>
      </c>
      <c r="BT55" s="98">
        <v>0.04</v>
      </c>
      <c r="BU55" s="98">
        <v>0.06</v>
      </c>
      <c r="BV55" s="98">
        <v>0.33</v>
      </c>
      <c r="BW55" s="98">
        <v>0.03</v>
      </c>
      <c r="BX55" s="98">
        <v>0.01</v>
      </c>
      <c r="BY55" s="98">
        <v>0.03</v>
      </c>
    </row>
    <row r="56" spans="1:77" ht="14" customHeight="1">
      <c r="A56" s="2" t="s">
        <v>1295</v>
      </c>
      <c r="B56" s="96">
        <v>49</v>
      </c>
      <c r="C56" s="96">
        <v>1.18</v>
      </c>
      <c r="D56" s="96">
        <v>5.33</v>
      </c>
      <c r="E56" s="96">
        <v>0</v>
      </c>
      <c r="F56" s="96">
        <v>12.73</v>
      </c>
      <c r="G56" s="96">
        <v>0.14000000000000001</v>
      </c>
      <c r="H56" s="96">
        <v>15.72</v>
      </c>
      <c r="I56" s="96">
        <v>11.3</v>
      </c>
      <c r="J56" s="96">
        <v>0.97</v>
      </c>
      <c r="K56" s="96">
        <v>0.3</v>
      </c>
      <c r="L56" s="96">
        <v>0.04</v>
      </c>
      <c r="M56" s="96">
        <v>0.09</v>
      </c>
      <c r="N56" s="96">
        <v>0</v>
      </c>
      <c r="O56" s="96">
        <v>0</v>
      </c>
      <c r="P56" s="96">
        <v>96.82</v>
      </c>
      <c r="Q56" s="96"/>
      <c r="R56" s="99">
        <v>778.21127162712287</v>
      </c>
      <c r="S56" s="99">
        <v>22</v>
      </c>
      <c r="T56" s="96">
        <v>2.2224220580489895</v>
      </c>
      <c r="U56" s="96">
        <f t="shared" si="1"/>
        <v>2.9124220580489895</v>
      </c>
      <c r="V56" s="96">
        <v>-12.122609148073908</v>
      </c>
      <c r="W56" s="96">
        <v>0.4</v>
      </c>
      <c r="X56" s="96">
        <v>0.90366578540257725</v>
      </c>
      <c r="Y56" s="96">
        <f t="shared" si="13"/>
        <v>1.6116421674169736</v>
      </c>
      <c r="Z56" s="96">
        <f t="shared" si="2"/>
        <v>0.25786274678671578</v>
      </c>
      <c r="AA56" s="96" t="s">
        <v>1253</v>
      </c>
      <c r="AB56" s="96" t="s">
        <v>1254</v>
      </c>
      <c r="AC56" s="96">
        <v>7.0489099658948016</v>
      </c>
      <c r="AD56" s="96">
        <v>0.84951508169936396</v>
      </c>
      <c r="AE56" s="96" t="s">
        <v>1254</v>
      </c>
      <c r="AF56" s="96">
        <v>0.61005759559377259</v>
      </c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>
        <v>0.04</v>
      </c>
      <c r="AX56" s="96">
        <v>0.72</v>
      </c>
      <c r="AY56" s="96">
        <v>9.48</v>
      </c>
      <c r="AZ56" s="96">
        <v>2.82</v>
      </c>
      <c r="BA56" s="96">
        <v>22.9</v>
      </c>
      <c r="BB56" s="96">
        <v>0.25</v>
      </c>
      <c r="BC56" s="96">
        <v>8.07</v>
      </c>
      <c r="BD56" s="96">
        <v>0.71</v>
      </c>
      <c r="BE56" s="96">
        <v>0.11</v>
      </c>
      <c r="BF56" s="96">
        <v>9.9</v>
      </c>
      <c r="BG56" s="96">
        <v>0.09</v>
      </c>
      <c r="BH56" s="96">
        <v>0</v>
      </c>
      <c r="BI56" s="96">
        <v>0</v>
      </c>
      <c r="BJ56" s="96">
        <v>41.71</v>
      </c>
      <c r="BK56" s="96">
        <v>96.81</v>
      </c>
      <c r="BM56" s="98">
        <v>0.1</v>
      </c>
      <c r="BN56" s="98">
        <v>0.09</v>
      </c>
      <c r="BO56" s="98">
        <v>0.21</v>
      </c>
      <c r="BP56" s="98">
        <v>0.09</v>
      </c>
      <c r="BQ56" s="98">
        <v>0.3</v>
      </c>
      <c r="BR56" s="98">
        <v>0.04</v>
      </c>
      <c r="BS56" s="98">
        <v>0.16</v>
      </c>
      <c r="BT56" s="98">
        <v>0.04</v>
      </c>
      <c r="BU56" s="98">
        <v>0.06</v>
      </c>
      <c r="BV56" s="98">
        <v>0.33</v>
      </c>
      <c r="BW56" s="98">
        <v>0.02</v>
      </c>
      <c r="BX56" s="98">
        <v>0.02</v>
      </c>
      <c r="BY56" s="98">
        <v>0.03</v>
      </c>
    </row>
    <row r="57" spans="1:77" ht="14" customHeight="1">
      <c r="A57" s="2" t="s">
        <v>1296</v>
      </c>
      <c r="B57" s="96">
        <v>49.04</v>
      </c>
      <c r="C57" s="96">
        <v>1.1000000000000001</v>
      </c>
      <c r="D57" s="96">
        <v>5.33</v>
      </c>
      <c r="E57" s="96">
        <v>0.01</v>
      </c>
      <c r="F57" s="96">
        <v>12.5</v>
      </c>
      <c r="G57" s="96">
        <v>0.17</v>
      </c>
      <c r="H57" s="96">
        <v>15.99</v>
      </c>
      <c r="I57" s="96">
        <v>11.39</v>
      </c>
      <c r="J57" s="96">
        <v>0.94</v>
      </c>
      <c r="K57" s="96">
        <v>0.33</v>
      </c>
      <c r="L57" s="96">
        <v>7.0000000000000007E-2</v>
      </c>
      <c r="M57" s="96">
        <v>0.11</v>
      </c>
      <c r="N57" s="96">
        <v>0.01</v>
      </c>
      <c r="O57" s="96">
        <v>-0.01</v>
      </c>
      <c r="P57" s="96">
        <v>96.98</v>
      </c>
      <c r="Q57" s="96"/>
      <c r="R57" s="99">
        <v>785.42542711620058</v>
      </c>
      <c r="S57" s="99">
        <v>22</v>
      </c>
      <c r="T57" s="96">
        <v>2.3434675718909395</v>
      </c>
      <c r="U57" s="96">
        <f t="shared" si="1"/>
        <v>3.0334675718909394</v>
      </c>
      <c r="V57" s="96">
        <v>-11.843198229655247</v>
      </c>
      <c r="W57" s="96">
        <v>0.4</v>
      </c>
      <c r="X57" s="96">
        <v>0.90143816697938972</v>
      </c>
      <c r="Y57" s="96">
        <f t="shared" si="13"/>
        <v>1.6069038483129043</v>
      </c>
      <c r="Z57" s="96">
        <f t="shared" si="2"/>
        <v>0.25710461573006471</v>
      </c>
      <c r="AA57" s="96" t="s">
        <v>1253</v>
      </c>
      <c r="AB57" s="96" t="s">
        <v>1254</v>
      </c>
      <c r="AC57" s="96">
        <v>7.037273788715229</v>
      </c>
      <c r="AD57" s="96">
        <v>0.86388230001536903</v>
      </c>
      <c r="AE57" s="96" t="s">
        <v>1254</v>
      </c>
      <c r="AF57" s="96">
        <v>0.64070355451631311</v>
      </c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>
        <v>7.0000000000000007E-2</v>
      </c>
      <c r="AX57" s="96">
        <v>0.69</v>
      </c>
      <c r="AY57" s="96">
        <v>9.64</v>
      </c>
      <c r="AZ57" s="96">
        <v>2.82</v>
      </c>
      <c r="BA57" s="96">
        <v>22.92</v>
      </c>
      <c r="BB57" s="96">
        <v>0.28000000000000003</v>
      </c>
      <c r="BC57" s="96">
        <v>8.14</v>
      </c>
      <c r="BD57" s="96">
        <v>0.66</v>
      </c>
      <c r="BE57" s="96">
        <v>0.13</v>
      </c>
      <c r="BF57" s="96">
        <v>9.7100000000000009</v>
      </c>
      <c r="BG57" s="96">
        <v>0.11</v>
      </c>
      <c r="BH57" s="96">
        <v>0</v>
      </c>
      <c r="BI57" s="96">
        <v>0.01</v>
      </c>
      <c r="BJ57" s="96">
        <v>41.79</v>
      </c>
      <c r="BK57" s="96">
        <v>96.97</v>
      </c>
      <c r="BM57" s="98">
        <v>0.1</v>
      </c>
      <c r="BN57" s="98">
        <v>0.08</v>
      </c>
      <c r="BO57" s="98">
        <v>0.21</v>
      </c>
      <c r="BP57" s="98">
        <v>0.09</v>
      </c>
      <c r="BQ57" s="98">
        <v>0.3</v>
      </c>
      <c r="BR57" s="98">
        <v>0.04</v>
      </c>
      <c r="BS57" s="98">
        <v>0.16</v>
      </c>
      <c r="BT57" s="98">
        <v>0.04</v>
      </c>
      <c r="BU57" s="98">
        <v>0.06</v>
      </c>
      <c r="BV57" s="98">
        <v>0.33</v>
      </c>
      <c r="BW57" s="98">
        <v>0.03</v>
      </c>
      <c r="BX57" s="98">
        <v>0.01</v>
      </c>
      <c r="BY57" s="98">
        <v>0.03</v>
      </c>
    </row>
    <row r="58" spans="1:77" ht="14" customHeight="1">
      <c r="A58" s="2" t="s">
        <v>1297</v>
      </c>
      <c r="B58" s="96">
        <v>50.42</v>
      </c>
      <c r="C58" s="96">
        <v>0.53</v>
      </c>
      <c r="D58" s="96">
        <v>4.37</v>
      </c>
      <c r="E58" s="96">
        <v>0</v>
      </c>
      <c r="F58" s="96">
        <v>12.41</v>
      </c>
      <c r="G58" s="96">
        <v>0.2</v>
      </c>
      <c r="H58" s="96">
        <v>16.739999999999998</v>
      </c>
      <c r="I58" s="96">
        <v>11.27</v>
      </c>
      <c r="J58" s="96">
        <v>0.74</v>
      </c>
      <c r="K58" s="96">
        <v>0.22</v>
      </c>
      <c r="L58" s="96">
        <v>0.04</v>
      </c>
      <c r="M58" s="96">
        <v>0.1</v>
      </c>
      <c r="N58" s="96">
        <v>0</v>
      </c>
      <c r="O58" s="96">
        <v>0.01</v>
      </c>
      <c r="P58" s="96">
        <v>97.03</v>
      </c>
      <c r="Q58" s="96"/>
      <c r="R58" s="99">
        <v>790.56926788913893</v>
      </c>
      <c r="S58" s="99">
        <v>22</v>
      </c>
      <c r="T58" s="96">
        <v>2.4634885771784854</v>
      </c>
      <c r="U58" s="96">
        <f t="shared" si="1"/>
        <v>3.1534885771784853</v>
      </c>
      <c r="V58" s="96">
        <v>-11.617595699549671</v>
      </c>
      <c r="W58" s="96">
        <v>0.4</v>
      </c>
      <c r="X58" s="96">
        <v>0.74608766189212328</v>
      </c>
      <c r="Y58" s="96">
        <f t="shared" si="13"/>
        <v>1.3008185813178099</v>
      </c>
      <c r="Z58" s="96">
        <f t="shared" si="2"/>
        <v>0.2081309730108496</v>
      </c>
      <c r="AA58" s="96" t="s">
        <v>1253</v>
      </c>
      <c r="AB58" s="96" t="s">
        <v>1254</v>
      </c>
      <c r="AC58" s="96">
        <v>7.30392854128685</v>
      </c>
      <c r="AD58" s="96">
        <v>0.91035559234955876</v>
      </c>
      <c r="AE58" s="96" t="s">
        <v>1254</v>
      </c>
      <c r="AF58" s="96">
        <v>0.76321714466149504</v>
      </c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>
        <v>0.04</v>
      </c>
      <c r="AX58" s="96">
        <v>0.55000000000000004</v>
      </c>
      <c r="AY58" s="96">
        <v>10.09</v>
      </c>
      <c r="AZ58" s="96">
        <v>2.31</v>
      </c>
      <c r="BA58" s="96">
        <v>23.57</v>
      </c>
      <c r="BB58" s="96">
        <v>0.18</v>
      </c>
      <c r="BC58" s="96">
        <v>8.0500000000000007</v>
      </c>
      <c r="BD58" s="96">
        <v>0.32</v>
      </c>
      <c r="BE58" s="96">
        <v>0.16</v>
      </c>
      <c r="BF58" s="96">
        <v>9.64</v>
      </c>
      <c r="BG58" s="96">
        <v>0.1</v>
      </c>
      <c r="BH58" s="96">
        <v>0</v>
      </c>
      <c r="BI58" s="96">
        <v>0</v>
      </c>
      <c r="BJ58" s="96">
        <v>42.02</v>
      </c>
      <c r="BK58" s="96">
        <v>97.03</v>
      </c>
      <c r="BM58" s="98">
        <v>0.1</v>
      </c>
      <c r="BN58" s="98">
        <v>7.0000000000000007E-2</v>
      </c>
      <c r="BO58" s="98">
        <v>0.21</v>
      </c>
      <c r="BP58" s="98">
        <v>0.09</v>
      </c>
      <c r="BQ58" s="98">
        <v>0.31</v>
      </c>
      <c r="BR58" s="98">
        <v>0.03</v>
      </c>
      <c r="BS58" s="98">
        <v>0.16</v>
      </c>
      <c r="BT58" s="98">
        <v>0.03</v>
      </c>
      <c r="BU58" s="98">
        <v>0.06</v>
      </c>
      <c r="BV58" s="98">
        <v>0.33</v>
      </c>
      <c r="BW58" s="98">
        <v>0.02</v>
      </c>
      <c r="BX58" s="98">
        <v>0.01</v>
      </c>
      <c r="BY58" s="98">
        <v>0.03</v>
      </c>
    </row>
    <row r="59" spans="1:77" s="29" customFormat="1" ht="14" customHeight="1"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60">
        <f>AVERAGE(R49:R58)</f>
        <v>793.62809671076548</v>
      </c>
      <c r="S59" s="160"/>
      <c r="T59" s="159">
        <f>AVERAGE(T49:T58)</f>
        <v>2.2736419779700299</v>
      </c>
      <c r="U59" s="159">
        <f>AVERAGE(U49:U58)</f>
        <v>2.9636419779700298</v>
      </c>
      <c r="V59" s="159">
        <f>AVERAGE(V49:V58)</f>
        <v>-11.739066795794788</v>
      </c>
      <c r="W59" s="160"/>
      <c r="X59" s="96"/>
      <c r="Y59" s="159">
        <f t="shared" ref="Y59" si="14">AVERAGE(Y49:Y58)</f>
        <v>1.5562785405590975</v>
      </c>
      <c r="Z59" s="96"/>
      <c r="AA59" s="159"/>
      <c r="AB59" s="159"/>
      <c r="AC59" s="96"/>
      <c r="AD59" s="96"/>
      <c r="AE59" s="159"/>
      <c r="AF59" s="96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</row>
    <row r="60" spans="1:77" s="29" customFormat="1" ht="14" customHeight="1"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60">
        <f>_xlfn.STDEV.S(R49:R58)</f>
        <v>12.157483529746742</v>
      </c>
      <c r="S60" s="160"/>
      <c r="T60" s="159">
        <f>_xlfn.STDEV.S(T49:T58)</f>
        <v>0.20451133678668854</v>
      </c>
      <c r="U60" s="159">
        <f>_xlfn.STDEV.S(U49:U58)</f>
        <v>0.20451133678668854</v>
      </c>
      <c r="V60" s="159">
        <f>_xlfn.STDEV.S(V49:V58)</f>
        <v>0.27362509904088611</v>
      </c>
      <c r="W60" s="160"/>
      <c r="X60" s="96"/>
      <c r="Y60" s="159">
        <f t="shared" ref="Y60" si="15">_xlfn.STDEV.S(Y49:Y58)</f>
        <v>0.26037884359480484</v>
      </c>
      <c r="Z60" s="96"/>
      <c r="AA60" s="159"/>
      <c r="AB60" s="159"/>
      <c r="AC60" s="96"/>
      <c r="AD60" s="96"/>
      <c r="AE60" s="159"/>
      <c r="AF60" s="96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</row>
    <row r="61" spans="1:77" s="293" customFormat="1" ht="14" customHeight="1"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4"/>
      <c r="S61" s="294"/>
      <c r="T61" s="292"/>
      <c r="U61" s="292"/>
      <c r="V61" s="292"/>
      <c r="W61" s="294"/>
      <c r="X61" s="96"/>
      <c r="Y61" s="292"/>
      <c r="Z61" s="96"/>
      <c r="AA61" s="292"/>
      <c r="AB61" s="292"/>
      <c r="AC61" s="96"/>
      <c r="AD61" s="96"/>
      <c r="AE61" s="292"/>
      <c r="AF61" s="96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</row>
    <row r="62" spans="1:77" s="293" customFormat="1" ht="14" customHeight="1"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4">
        <f>AVERAGE(R34:R45, R49:R58)</f>
        <v>802.04217397256684</v>
      </c>
      <c r="S62" s="292"/>
      <c r="T62" s="292">
        <f t="shared" ref="T62:AF62" si="16">AVERAGE(T34:T45, T49:T58)</f>
        <v>2.2551282142507429</v>
      </c>
      <c r="U62" s="292">
        <f t="shared" si="16"/>
        <v>2.945128214250742</v>
      </c>
      <c r="V62" s="292">
        <f t="shared" si="16"/>
        <v>-11.580381060208479</v>
      </c>
      <c r="W62" s="292"/>
      <c r="X62" s="292">
        <f t="shared" si="16"/>
        <v>0.89463386391661703</v>
      </c>
      <c r="Y62" s="292">
        <f t="shared" si="16"/>
        <v>1.6070323508003213</v>
      </c>
      <c r="Z62" s="96"/>
      <c r="AA62" s="292"/>
      <c r="AB62" s="292"/>
      <c r="AC62" s="292"/>
      <c r="AD62" s="292"/>
      <c r="AE62" s="292"/>
      <c r="AF62" s="292">
        <f t="shared" si="16"/>
        <v>0.62487098899372795</v>
      </c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</row>
    <row r="63" spans="1:77" s="293" customFormat="1" ht="14" customHeight="1"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4">
        <f>_xlfn.STDEV.S(R34:R45,R49:R58)</f>
        <v>17.502360981451716</v>
      </c>
      <c r="S63" s="292"/>
      <c r="T63" s="292">
        <f t="shared" ref="T63:AF63" si="17">_xlfn.STDEV.S(T34:T45,T49:T58)</f>
        <v>0.1976199525550163</v>
      </c>
      <c r="U63" s="292">
        <f t="shared" si="17"/>
        <v>0.19761995255501633</v>
      </c>
      <c r="V63" s="292">
        <f t="shared" si="17"/>
        <v>0.30880856216672614</v>
      </c>
      <c r="W63" s="292"/>
      <c r="X63" s="292">
        <f t="shared" si="17"/>
        <v>0.12373196661511918</v>
      </c>
      <c r="Y63" s="292">
        <f t="shared" si="17"/>
        <v>0.26414008974365222</v>
      </c>
      <c r="Z63" s="96"/>
      <c r="AA63" s="292"/>
      <c r="AB63" s="292"/>
      <c r="AC63" s="292"/>
      <c r="AD63" s="292"/>
      <c r="AE63" s="292"/>
      <c r="AF63" s="292">
        <f t="shared" si="17"/>
        <v>7.611066573327431E-2</v>
      </c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</row>
    <row r="64" spans="1:77" ht="14" customHeight="1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9"/>
      <c r="S64" s="99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96"/>
    </row>
    <row r="65" spans="1:77" ht="14" customHeight="1">
      <c r="A65" s="2" t="s">
        <v>1298</v>
      </c>
      <c r="B65" s="96">
        <v>43.57</v>
      </c>
      <c r="C65" s="96">
        <v>1.44</v>
      </c>
      <c r="D65" s="96">
        <v>5.96</v>
      </c>
      <c r="E65" s="96">
        <v>-0.03</v>
      </c>
      <c r="F65" s="96">
        <v>27.33</v>
      </c>
      <c r="G65" s="96">
        <v>0.6</v>
      </c>
      <c r="H65" s="96">
        <v>6.26</v>
      </c>
      <c r="I65" s="96">
        <v>9.27</v>
      </c>
      <c r="J65" s="96">
        <v>2.0499999999999998</v>
      </c>
      <c r="K65" s="96">
        <v>0.45</v>
      </c>
      <c r="L65" s="96">
        <v>0.23</v>
      </c>
      <c r="M65" s="96">
        <v>0.33</v>
      </c>
      <c r="N65" s="96">
        <v>-0.03</v>
      </c>
      <c r="O65" s="96">
        <v>0.02</v>
      </c>
      <c r="P65" s="96">
        <v>97.51</v>
      </c>
      <c r="U65" s="96"/>
      <c r="X65" s="96">
        <v>1.1175449179342707</v>
      </c>
      <c r="Y65" s="96">
        <f t="shared" ref="Y65:Y74" si="18">0.5+0.331*X65+0.995*X65^2</f>
        <v>2.1125694782189557</v>
      </c>
      <c r="Z65" s="96">
        <f t="shared" si="2"/>
        <v>0.33801111651503291</v>
      </c>
      <c r="AA65" s="98" t="s">
        <v>1253</v>
      </c>
      <c r="AB65" s="98" t="s">
        <v>1253</v>
      </c>
      <c r="AC65" s="96">
        <v>6.9318880660720223</v>
      </c>
      <c r="AD65" s="96">
        <v>0.39844567320161434</v>
      </c>
      <c r="AE65" s="98" t="s">
        <v>1254</v>
      </c>
      <c r="AF65" s="96">
        <v>0.38355421825436953</v>
      </c>
      <c r="AW65" s="98">
        <v>0.23</v>
      </c>
      <c r="AX65" s="98">
        <v>1.52</v>
      </c>
      <c r="AY65" s="98">
        <v>3.78</v>
      </c>
      <c r="AZ65" s="98">
        <v>3.15</v>
      </c>
      <c r="BA65" s="98">
        <v>20.37</v>
      </c>
      <c r="BB65" s="98">
        <v>0.38</v>
      </c>
      <c r="BC65" s="98">
        <v>6.62</v>
      </c>
      <c r="BD65" s="98">
        <v>0.86</v>
      </c>
      <c r="BE65" s="98">
        <v>0.46</v>
      </c>
      <c r="BF65" s="98">
        <v>21.24</v>
      </c>
      <c r="BG65" s="98">
        <v>0.33</v>
      </c>
      <c r="BH65" s="98">
        <v>0.01</v>
      </c>
      <c r="BI65" s="98">
        <v>-0.02</v>
      </c>
      <c r="BJ65" s="98">
        <v>38.549999999999997</v>
      </c>
      <c r="BK65" s="98">
        <v>97.49</v>
      </c>
      <c r="BL65" s="2"/>
      <c r="BM65" s="98">
        <v>0.11</v>
      </c>
      <c r="BN65" s="98">
        <v>0.14000000000000001</v>
      </c>
      <c r="BO65" s="98">
        <v>0.13</v>
      </c>
      <c r="BP65" s="98">
        <v>0.1</v>
      </c>
      <c r="BQ65" s="98">
        <v>0.28000000000000003</v>
      </c>
      <c r="BR65" s="98">
        <v>0.04</v>
      </c>
      <c r="BS65" s="98">
        <v>0.14000000000000001</v>
      </c>
      <c r="BT65" s="98">
        <v>0.05</v>
      </c>
      <c r="BU65" s="98">
        <v>0.09</v>
      </c>
      <c r="BV65" s="98">
        <v>0.51</v>
      </c>
      <c r="BW65" s="98">
        <v>0.04</v>
      </c>
      <c r="BX65" s="98">
        <v>0.02</v>
      </c>
      <c r="BY65" s="98">
        <v>0.03</v>
      </c>
    </row>
    <row r="66" spans="1:77" ht="14" customHeight="1">
      <c r="A66" s="2" t="s">
        <v>1299</v>
      </c>
      <c r="B66" s="96">
        <v>43.6</v>
      </c>
      <c r="C66" s="96">
        <v>1.48</v>
      </c>
      <c r="D66" s="96">
        <v>6</v>
      </c>
      <c r="E66" s="96">
        <v>-0.01</v>
      </c>
      <c r="F66" s="96">
        <v>27.74</v>
      </c>
      <c r="G66" s="96">
        <v>0.63</v>
      </c>
      <c r="H66" s="96">
        <v>6.3</v>
      </c>
      <c r="I66" s="96">
        <v>9.1999999999999993</v>
      </c>
      <c r="J66" s="96">
        <v>2.08</v>
      </c>
      <c r="K66" s="96">
        <v>0.46</v>
      </c>
      <c r="L66" s="96">
        <v>0.16</v>
      </c>
      <c r="M66" s="96">
        <v>0.35</v>
      </c>
      <c r="N66" s="96">
        <v>-0.01</v>
      </c>
      <c r="O66" s="96">
        <v>0</v>
      </c>
      <c r="P66" s="96">
        <v>98.01</v>
      </c>
      <c r="U66" s="96"/>
      <c r="X66" s="96">
        <v>1.1193942567074211</v>
      </c>
      <c r="Y66" s="96">
        <f t="shared" si="18"/>
        <v>2.1172977834099687</v>
      </c>
      <c r="Z66" s="96">
        <f t="shared" si="2"/>
        <v>0.338767645345595</v>
      </c>
      <c r="AA66" s="98" t="s">
        <v>1253</v>
      </c>
      <c r="AB66" s="98" t="s">
        <v>1253</v>
      </c>
      <c r="AC66" s="96">
        <v>6.901819009546549</v>
      </c>
      <c r="AD66" s="96">
        <v>0.40626173488139622</v>
      </c>
      <c r="AE66" s="98" t="s">
        <v>1254</v>
      </c>
      <c r="AF66" s="96">
        <v>0.40833257828762443</v>
      </c>
      <c r="AW66" s="98">
        <v>0.16</v>
      </c>
      <c r="AX66" s="98">
        <v>1.54</v>
      </c>
      <c r="AY66" s="98">
        <v>3.8</v>
      </c>
      <c r="AZ66" s="98">
        <v>3.17</v>
      </c>
      <c r="BA66" s="98">
        <v>20.38</v>
      </c>
      <c r="BB66" s="98">
        <v>0.39</v>
      </c>
      <c r="BC66" s="98">
        <v>6.58</v>
      </c>
      <c r="BD66" s="98">
        <v>0.89</v>
      </c>
      <c r="BE66" s="98">
        <v>0.49</v>
      </c>
      <c r="BF66" s="98">
        <v>21.56</v>
      </c>
      <c r="BG66" s="98">
        <v>0.35</v>
      </c>
      <c r="BH66" s="98">
        <v>0</v>
      </c>
      <c r="BI66" s="98">
        <v>-0.01</v>
      </c>
      <c r="BJ66" s="98">
        <v>38.700000000000003</v>
      </c>
      <c r="BK66" s="98">
        <v>98</v>
      </c>
      <c r="BL66" s="2"/>
      <c r="BM66" s="98">
        <v>0.11</v>
      </c>
      <c r="BN66" s="98">
        <v>0.14000000000000001</v>
      </c>
      <c r="BO66" s="98">
        <v>0.13</v>
      </c>
      <c r="BP66" s="98">
        <v>0.1</v>
      </c>
      <c r="BQ66" s="98">
        <v>0.28000000000000003</v>
      </c>
      <c r="BR66" s="98">
        <v>0.04</v>
      </c>
      <c r="BS66" s="98">
        <v>0.14000000000000001</v>
      </c>
      <c r="BT66" s="98">
        <v>0.05</v>
      </c>
      <c r="BU66" s="98">
        <v>0.09</v>
      </c>
      <c r="BV66" s="98">
        <v>0.51</v>
      </c>
      <c r="BW66" s="98">
        <v>0.04</v>
      </c>
      <c r="BX66" s="98">
        <v>0.02</v>
      </c>
      <c r="BY66" s="98">
        <v>0.03</v>
      </c>
    </row>
    <row r="67" spans="1:77" ht="14" customHeight="1">
      <c r="A67" s="2" t="s">
        <v>1300</v>
      </c>
      <c r="B67" s="96">
        <v>44.03</v>
      </c>
      <c r="C67" s="96">
        <v>1.46</v>
      </c>
      <c r="D67" s="96">
        <v>6.02</v>
      </c>
      <c r="E67" s="96">
        <v>-0.03</v>
      </c>
      <c r="F67" s="96">
        <v>27.36</v>
      </c>
      <c r="G67" s="96">
        <v>0.56999999999999995</v>
      </c>
      <c r="H67" s="96">
        <v>6.26</v>
      </c>
      <c r="I67" s="96">
        <v>9.2899999999999991</v>
      </c>
      <c r="J67" s="96">
        <v>1.95</v>
      </c>
      <c r="K67" s="96">
        <v>0.47</v>
      </c>
      <c r="L67" s="96">
        <v>7.0000000000000007E-2</v>
      </c>
      <c r="M67" s="96">
        <v>0.31</v>
      </c>
      <c r="N67" s="96">
        <v>-0.03</v>
      </c>
      <c r="O67" s="96">
        <v>0.01</v>
      </c>
      <c r="P67" s="96">
        <v>97.8</v>
      </c>
      <c r="U67" s="96"/>
      <c r="X67" s="96">
        <v>1.1220491381262647</v>
      </c>
      <c r="Y67" s="96">
        <f t="shared" si="18"/>
        <v>2.1240975617478379</v>
      </c>
      <c r="Z67" s="96">
        <f t="shared" si="2"/>
        <v>0.33985560987965407</v>
      </c>
      <c r="AA67" s="98" t="s">
        <v>1253</v>
      </c>
      <c r="AB67" s="98" t="s">
        <v>1253</v>
      </c>
      <c r="AC67" s="96">
        <v>6.9632072865911701</v>
      </c>
      <c r="AD67" s="96">
        <v>0.39703166903680309</v>
      </c>
      <c r="AE67" s="98" t="s">
        <v>1254</v>
      </c>
      <c r="AF67" s="96">
        <v>0.38058454487021859</v>
      </c>
      <c r="AW67" s="98">
        <v>7.0000000000000007E-2</v>
      </c>
      <c r="AX67" s="98">
        <v>1.45</v>
      </c>
      <c r="AY67" s="98">
        <v>3.77</v>
      </c>
      <c r="AZ67" s="98">
        <v>3.18</v>
      </c>
      <c r="BA67" s="98">
        <v>20.58</v>
      </c>
      <c r="BB67" s="98">
        <v>0.39</v>
      </c>
      <c r="BC67" s="98">
        <v>6.64</v>
      </c>
      <c r="BD67" s="98">
        <v>0.88</v>
      </c>
      <c r="BE67" s="98">
        <v>0.44</v>
      </c>
      <c r="BF67" s="98">
        <v>21.27</v>
      </c>
      <c r="BG67" s="98">
        <v>0.31</v>
      </c>
      <c r="BH67" s="98">
        <v>0.01</v>
      </c>
      <c r="BI67" s="98">
        <v>-0.02</v>
      </c>
      <c r="BJ67" s="98">
        <v>38.81</v>
      </c>
      <c r="BK67" s="98">
        <v>97.78</v>
      </c>
      <c r="BL67" s="2"/>
      <c r="BM67" s="98">
        <v>0.11</v>
      </c>
      <c r="BN67" s="98">
        <v>0.13</v>
      </c>
      <c r="BO67" s="98">
        <v>0.13</v>
      </c>
      <c r="BP67" s="98">
        <v>0.1</v>
      </c>
      <c r="BQ67" s="98">
        <v>0.28000000000000003</v>
      </c>
      <c r="BR67" s="98">
        <v>0.04</v>
      </c>
      <c r="BS67" s="98">
        <v>0.14000000000000001</v>
      </c>
      <c r="BT67" s="98">
        <v>0.05</v>
      </c>
      <c r="BU67" s="98">
        <v>0.09</v>
      </c>
      <c r="BV67" s="98">
        <v>0.51</v>
      </c>
      <c r="BW67" s="98">
        <v>0.04</v>
      </c>
      <c r="BX67" s="98">
        <v>0.02</v>
      </c>
      <c r="BY67" s="98">
        <v>0.03</v>
      </c>
    </row>
    <row r="68" spans="1:77" ht="14" customHeight="1">
      <c r="A68" s="2" t="s">
        <v>1301</v>
      </c>
      <c r="B68" s="96">
        <v>43.38</v>
      </c>
      <c r="C68" s="96">
        <v>1.42</v>
      </c>
      <c r="D68" s="96">
        <v>6.01</v>
      </c>
      <c r="E68" s="96">
        <v>0.41</v>
      </c>
      <c r="F68" s="96">
        <v>27.06</v>
      </c>
      <c r="G68" s="96">
        <v>0.63</v>
      </c>
      <c r="H68" s="96">
        <v>6.24</v>
      </c>
      <c r="I68" s="96">
        <v>9.2200000000000006</v>
      </c>
      <c r="J68" s="96">
        <v>2.0699999999999998</v>
      </c>
      <c r="K68" s="96">
        <v>0.53</v>
      </c>
      <c r="L68" s="96">
        <v>0.08</v>
      </c>
      <c r="M68" s="96">
        <v>0.44</v>
      </c>
      <c r="N68" s="96">
        <v>0.41</v>
      </c>
      <c r="O68" s="96">
        <v>0.01</v>
      </c>
      <c r="P68" s="96">
        <v>97.5</v>
      </c>
      <c r="U68" s="96"/>
      <c r="X68" s="96">
        <v>1.1279013728104188</v>
      </c>
      <c r="Y68" s="96">
        <f t="shared" si="18"/>
        <v>2.1391360536539379</v>
      </c>
      <c r="Z68" s="96">
        <f t="shared" ref="Z68:Z74" si="19">0.16*Y68</f>
        <v>0.34226176858463009</v>
      </c>
      <c r="AA68" s="98" t="s">
        <v>1253</v>
      </c>
      <c r="AB68" s="98" t="s">
        <v>1253</v>
      </c>
      <c r="AC68" s="96">
        <v>6.907667967363829</v>
      </c>
      <c r="AD68" s="96">
        <v>0.40023371712504802</v>
      </c>
      <c r="AE68" s="98" t="s">
        <v>1254</v>
      </c>
      <c r="AF68" s="96">
        <v>0.38400155452647367</v>
      </c>
      <c r="AW68" s="98">
        <v>0.08</v>
      </c>
      <c r="AX68" s="98">
        <v>1.54</v>
      </c>
      <c r="AY68" s="98">
        <v>3.76</v>
      </c>
      <c r="AZ68" s="98">
        <v>3.18</v>
      </c>
      <c r="BA68" s="98">
        <v>20.28</v>
      </c>
      <c r="BB68" s="98">
        <v>0.44</v>
      </c>
      <c r="BC68" s="98">
        <v>6.59</v>
      </c>
      <c r="BD68" s="98">
        <v>0.85</v>
      </c>
      <c r="BE68" s="98">
        <v>0.49</v>
      </c>
      <c r="BF68" s="98">
        <v>21.04</v>
      </c>
      <c r="BG68" s="98">
        <v>0.44</v>
      </c>
      <c r="BH68" s="98">
        <v>0</v>
      </c>
      <c r="BI68" s="98">
        <v>0.28000000000000003</v>
      </c>
      <c r="BJ68" s="98">
        <v>38.54</v>
      </c>
      <c r="BK68" s="98">
        <v>97.5</v>
      </c>
      <c r="BL68" s="2"/>
      <c r="BM68" s="98">
        <v>0.11</v>
      </c>
      <c r="BN68" s="98">
        <v>0.14000000000000001</v>
      </c>
      <c r="BO68" s="98">
        <v>0.13</v>
      </c>
      <c r="BP68" s="98">
        <v>0.1</v>
      </c>
      <c r="BQ68" s="98">
        <v>0.28000000000000003</v>
      </c>
      <c r="BR68" s="98">
        <v>0.04</v>
      </c>
      <c r="BS68" s="98">
        <v>0.14000000000000001</v>
      </c>
      <c r="BT68" s="98">
        <v>0.05</v>
      </c>
      <c r="BU68" s="98">
        <v>0.09</v>
      </c>
      <c r="BV68" s="98">
        <v>0.51</v>
      </c>
      <c r="BW68" s="98">
        <v>0.04</v>
      </c>
      <c r="BX68" s="98">
        <v>0.02</v>
      </c>
      <c r="BY68" s="98">
        <v>0.03</v>
      </c>
    </row>
    <row r="69" spans="1:77" ht="14" customHeight="1">
      <c r="A69" s="2" t="s">
        <v>1302</v>
      </c>
      <c r="B69" s="96">
        <v>44.14</v>
      </c>
      <c r="C69" s="96">
        <v>1.45</v>
      </c>
      <c r="D69" s="96">
        <v>5.92</v>
      </c>
      <c r="E69" s="96">
        <v>0.01</v>
      </c>
      <c r="F69" s="96">
        <v>27.11</v>
      </c>
      <c r="G69" s="96">
        <v>0.72</v>
      </c>
      <c r="H69" s="96">
        <v>6.2</v>
      </c>
      <c r="I69" s="96">
        <v>9.35</v>
      </c>
      <c r="J69" s="96">
        <v>1.9</v>
      </c>
      <c r="K69" s="96">
        <v>0.51</v>
      </c>
      <c r="L69" s="96">
        <v>7.0000000000000007E-2</v>
      </c>
      <c r="M69" s="96">
        <v>0.34</v>
      </c>
      <c r="N69" s="96">
        <v>0.01</v>
      </c>
      <c r="O69" s="96">
        <v>0.01</v>
      </c>
      <c r="P69" s="96">
        <v>97.73</v>
      </c>
      <c r="U69" s="96"/>
      <c r="X69" s="96">
        <v>1.070365539952542</v>
      </c>
      <c r="Y69" s="96">
        <f>0.5+0.331*X69+0.995*X69^2</f>
        <v>1.9942449708965988</v>
      </c>
      <c r="Z69" s="96">
        <f t="shared" si="19"/>
        <v>0.3190791953434558</v>
      </c>
      <c r="AA69" s="98" t="s">
        <v>1253</v>
      </c>
      <c r="AB69" s="98" t="s">
        <v>1253</v>
      </c>
      <c r="AC69" s="96">
        <v>6.7715485085451368</v>
      </c>
      <c r="AD69" s="96">
        <v>0.39564369127975568</v>
      </c>
      <c r="AE69" s="98" t="s">
        <v>1254</v>
      </c>
      <c r="AF69" s="96">
        <v>0.37726190961422901</v>
      </c>
      <c r="AW69" s="98">
        <v>7.0000000000000007E-2</v>
      </c>
      <c r="AX69" s="98">
        <v>1.41</v>
      </c>
      <c r="AY69" s="98">
        <v>3.74</v>
      </c>
      <c r="AZ69" s="98">
        <v>3.13</v>
      </c>
      <c r="BA69" s="98">
        <v>20.63</v>
      </c>
      <c r="BB69" s="98">
        <v>0.42</v>
      </c>
      <c r="BC69" s="98">
        <v>6.68</v>
      </c>
      <c r="BD69" s="98">
        <v>0.87</v>
      </c>
      <c r="BE69" s="98">
        <v>0.55000000000000004</v>
      </c>
      <c r="BF69" s="98">
        <v>21.07</v>
      </c>
      <c r="BG69" s="98">
        <v>0.34</v>
      </c>
      <c r="BH69" s="98">
        <v>0.01</v>
      </c>
      <c r="BI69" s="98">
        <v>0.01</v>
      </c>
      <c r="BJ69" s="98">
        <v>38.79</v>
      </c>
      <c r="BK69" s="98">
        <v>97.73</v>
      </c>
      <c r="BL69" s="2"/>
      <c r="BM69" s="98">
        <v>0.11</v>
      </c>
      <c r="BN69" s="98">
        <v>0.13</v>
      </c>
      <c r="BO69" s="98">
        <v>0.13</v>
      </c>
      <c r="BP69" s="98">
        <v>0.1</v>
      </c>
      <c r="BQ69" s="98">
        <v>0.28000000000000003</v>
      </c>
      <c r="BR69" s="98">
        <v>0.04</v>
      </c>
      <c r="BS69" s="98">
        <v>0.14000000000000001</v>
      </c>
      <c r="BT69" s="98">
        <v>0.05</v>
      </c>
      <c r="BU69" s="98">
        <v>0.09</v>
      </c>
      <c r="BV69" s="98">
        <v>0.51</v>
      </c>
      <c r="BW69" s="98">
        <v>0.04</v>
      </c>
      <c r="BX69" s="98">
        <v>0.02</v>
      </c>
      <c r="BY69" s="98">
        <v>0.03</v>
      </c>
    </row>
    <row r="70" spans="1:77" ht="14" customHeight="1">
      <c r="A70" s="2" t="s">
        <v>1303</v>
      </c>
      <c r="B70" s="96">
        <v>44.7</v>
      </c>
      <c r="C70" s="96">
        <v>1.43</v>
      </c>
      <c r="D70" s="96">
        <v>5.91</v>
      </c>
      <c r="E70" s="96">
        <v>-0.01</v>
      </c>
      <c r="F70" s="96">
        <v>26.83</v>
      </c>
      <c r="G70" s="96">
        <v>0.64</v>
      </c>
      <c r="H70" s="96">
        <v>6.34</v>
      </c>
      <c r="I70" s="96">
        <v>9.34</v>
      </c>
      <c r="J70" s="96">
        <v>1.66</v>
      </c>
      <c r="K70" s="96">
        <v>0.5</v>
      </c>
      <c r="L70" s="96">
        <v>-0.13</v>
      </c>
      <c r="M70" s="96">
        <v>0.28000000000000003</v>
      </c>
      <c r="N70" s="96">
        <v>-0.01</v>
      </c>
      <c r="O70" s="96">
        <v>-0.01</v>
      </c>
      <c r="P70" s="96">
        <v>97.65</v>
      </c>
      <c r="U70" s="96"/>
      <c r="X70" s="96">
        <v>1.0632356797134777</v>
      </c>
      <c r="Y70" s="96">
        <f t="shared" si="18"/>
        <v>1.976748770047863</v>
      </c>
      <c r="Z70" s="96">
        <f t="shared" si="19"/>
        <v>0.31627980320765808</v>
      </c>
      <c r="AA70" s="98" t="s">
        <v>1253</v>
      </c>
      <c r="AB70" s="98" t="s">
        <v>1253</v>
      </c>
      <c r="AC70" s="96">
        <v>6.8233058311218011</v>
      </c>
      <c r="AD70" s="96">
        <v>0.4065821262561739</v>
      </c>
      <c r="AE70" s="98" t="s">
        <v>1254</v>
      </c>
      <c r="AF70" s="96">
        <v>0.38519786155590535</v>
      </c>
      <c r="AW70" s="98">
        <v>-0.13</v>
      </c>
      <c r="AX70" s="98">
        <v>1.23</v>
      </c>
      <c r="AY70" s="98">
        <v>3.83</v>
      </c>
      <c r="AZ70" s="98">
        <v>3.13</v>
      </c>
      <c r="BA70" s="98">
        <v>20.9</v>
      </c>
      <c r="BB70" s="98">
        <v>0.42</v>
      </c>
      <c r="BC70" s="98">
        <v>6.68</v>
      </c>
      <c r="BD70" s="98">
        <v>0.86</v>
      </c>
      <c r="BE70" s="98">
        <v>0.49</v>
      </c>
      <c r="BF70" s="98">
        <v>20.85</v>
      </c>
      <c r="BG70" s="98">
        <v>0.28000000000000003</v>
      </c>
      <c r="BH70" s="98">
        <v>0</v>
      </c>
      <c r="BI70" s="98">
        <v>-0.01</v>
      </c>
      <c r="BJ70" s="98">
        <v>38.97</v>
      </c>
      <c r="BK70" s="98">
        <v>97.49</v>
      </c>
      <c r="BL70" s="2"/>
      <c r="BM70" s="98">
        <v>0.1</v>
      </c>
      <c r="BN70" s="98">
        <v>0.12</v>
      </c>
      <c r="BO70" s="98">
        <v>0.13</v>
      </c>
      <c r="BP70" s="98">
        <v>0.1</v>
      </c>
      <c r="BQ70" s="98">
        <v>0.28000000000000003</v>
      </c>
      <c r="BR70" s="98">
        <v>0.04</v>
      </c>
      <c r="BS70" s="98">
        <v>0.14000000000000001</v>
      </c>
      <c r="BT70" s="98">
        <v>0.05</v>
      </c>
      <c r="BU70" s="98">
        <v>0.09</v>
      </c>
      <c r="BV70" s="98">
        <v>0.5</v>
      </c>
      <c r="BW70" s="98">
        <v>0.03</v>
      </c>
      <c r="BX70" s="98">
        <v>0.02</v>
      </c>
      <c r="BY70" s="98">
        <v>0.03</v>
      </c>
    </row>
    <row r="71" spans="1:77" ht="14" customHeight="1">
      <c r="A71" s="2" t="s">
        <v>1304</v>
      </c>
      <c r="B71" s="96">
        <v>44.47</v>
      </c>
      <c r="C71" s="96">
        <v>1.4</v>
      </c>
      <c r="D71" s="96">
        <v>5.69</v>
      </c>
      <c r="E71" s="96">
        <v>-0.01</v>
      </c>
      <c r="F71" s="96">
        <v>26.8</v>
      </c>
      <c r="G71" s="96">
        <v>0.73</v>
      </c>
      <c r="H71" s="96">
        <v>6.62</v>
      </c>
      <c r="I71" s="96">
        <v>9.3000000000000007</v>
      </c>
      <c r="J71" s="96">
        <v>1.76</v>
      </c>
      <c r="K71" s="96">
        <v>0.49</v>
      </c>
      <c r="L71" s="96">
        <v>-0.04</v>
      </c>
      <c r="M71" s="96">
        <v>0.26</v>
      </c>
      <c r="N71" s="96">
        <v>-0.01</v>
      </c>
      <c r="O71" s="96">
        <v>0.01</v>
      </c>
      <c r="P71" s="96">
        <v>97.53</v>
      </c>
      <c r="U71" s="96"/>
      <c r="X71" s="96">
        <v>1.0579052444209209</v>
      </c>
      <c r="Y71" s="96">
        <f t="shared" si="18"/>
        <v>1.963734324545747</v>
      </c>
      <c r="Z71" s="96">
        <f t="shared" si="19"/>
        <v>0.31419749192731955</v>
      </c>
      <c r="AA71" s="98" t="s">
        <v>1253</v>
      </c>
      <c r="AB71" s="98" t="s">
        <v>1253</v>
      </c>
      <c r="AC71" s="96">
        <v>7.0153103136219634</v>
      </c>
      <c r="AD71" s="96">
        <v>0.42299737300863077</v>
      </c>
      <c r="AE71" s="98" t="s">
        <v>1254</v>
      </c>
      <c r="AF71" s="96">
        <v>0.39935514768605973</v>
      </c>
      <c r="AW71" s="98">
        <v>-0.04</v>
      </c>
      <c r="AX71" s="98">
        <v>1.3</v>
      </c>
      <c r="AY71" s="98">
        <v>3.99</v>
      </c>
      <c r="AZ71" s="98">
        <v>3.01</v>
      </c>
      <c r="BA71" s="98">
        <v>20.79</v>
      </c>
      <c r="BB71" s="98">
        <v>0.4</v>
      </c>
      <c r="BC71" s="98">
        <v>6.65</v>
      </c>
      <c r="BD71" s="98">
        <v>0.84</v>
      </c>
      <c r="BE71" s="98">
        <v>0.56000000000000005</v>
      </c>
      <c r="BF71" s="98">
        <v>20.83</v>
      </c>
      <c r="BG71" s="98">
        <v>0.26</v>
      </c>
      <c r="BH71" s="98">
        <v>0.01</v>
      </c>
      <c r="BI71" s="98">
        <v>-0.01</v>
      </c>
      <c r="BJ71" s="98">
        <v>38.880000000000003</v>
      </c>
      <c r="BK71" s="98">
        <v>97.48</v>
      </c>
      <c r="BL71" s="2"/>
      <c r="BM71" s="98">
        <v>0.1</v>
      </c>
      <c r="BN71" s="98">
        <v>0.12</v>
      </c>
      <c r="BO71" s="98">
        <v>0.13</v>
      </c>
      <c r="BP71" s="98">
        <v>0.1</v>
      </c>
      <c r="BQ71" s="98">
        <v>0.28000000000000003</v>
      </c>
      <c r="BR71" s="98">
        <v>0.04</v>
      </c>
      <c r="BS71" s="98">
        <v>0.14000000000000001</v>
      </c>
      <c r="BT71" s="98">
        <v>0.05</v>
      </c>
      <c r="BU71" s="98">
        <v>0.09</v>
      </c>
      <c r="BV71" s="98">
        <v>0.5</v>
      </c>
      <c r="BW71" s="98">
        <v>0.03</v>
      </c>
      <c r="BX71" s="98">
        <v>0.02</v>
      </c>
      <c r="BY71" s="98">
        <v>0.03</v>
      </c>
    </row>
    <row r="72" spans="1:77" ht="14" customHeight="1">
      <c r="A72" s="2" t="s">
        <v>1305</v>
      </c>
      <c r="B72" s="96">
        <v>44.14</v>
      </c>
      <c r="C72" s="96">
        <v>1.4</v>
      </c>
      <c r="D72" s="96">
        <v>5.74</v>
      </c>
      <c r="E72" s="96">
        <v>-0.01</v>
      </c>
      <c r="F72" s="96">
        <v>27.07</v>
      </c>
      <c r="G72" s="96">
        <v>0.68</v>
      </c>
      <c r="H72" s="96">
        <v>6.29</v>
      </c>
      <c r="I72" s="96">
        <v>9.39</v>
      </c>
      <c r="J72" s="96">
        <v>1.85</v>
      </c>
      <c r="K72" s="96">
        <v>0.49</v>
      </c>
      <c r="L72" s="96">
        <v>-0.05</v>
      </c>
      <c r="M72" s="96">
        <v>0.27</v>
      </c>
      <c r="N72" s="96">
        <v>-0.01</v>
      </c>
      <c r="O72" s="96">
        <v>0.01</v>
      </c>
      <c r="P72" s="96">
        <v>97.33</v>
      </c>
      <c r="U72" s="96"/>
      <c r="X72" s="96">
        <v>1.0726518407764509</v>
      </c>
      <c r="Y72" s="96">
        <f t="shared" si="18"/>
        <v>1.9998768209605085</v>
      </c>
      <c r="Z72" s="96">
        <f t="shared" si="19"/>
        <v>0.31998029135368133</v>
      </c>
      <c r="AA72" s="98" t="s">
        <v>1253</v>
      </c>
      <c r="AB72" s="98" t="s">
        <v>1253</v>
      </c>
      <c r="AC72" s="96">
        <v>6.9988143232070579</v>
      </c>
      <c r="AD72" s="96">
        <v>0.39586514566433162</v>
      </c>
      <c r="AE72" s="98" t="s">
        <v>1254</v>
      </c>
      <c r="AF72" s="96">
        <v>0.36787428173395265</v>
      </c>
      <c r="AW72" s="98">
        <v>-0.05</v>
      </c>
      <c r="AX72" s="98">
        <v>1.38</v>
      </c>
      <c r="AY72" s="98">
        <v>3.79</v>
      </c>
      <c r="AZ72" s="98">
        <v>3.04</v>
      </c>
      <c r="BA72" s="98">
        <v>20.63</v>
      </c>
      <c r="BB72" s="98">
        <v>0.41</v>
      </c>
      <c r="BC72" s="98">
        <v>6.71</v>
      </c>
      <c r="BD72" s="98">
        <v>0.84</v>
      </c>
      <c r="BE72" s="98">
        <v>0.53</v>
      </c>
      <c r="BF72" s="98">
        <v>21.04</v>
      </c>
      <c r="BG72" s="98">
        <v>0.27</v>
      </c>
      <c r="BH72" s="98">
        <v>0.01</v>
      </c>
      <c r="BI72" s="98">
        <v>-0.01</v>
      </c>
      <c r="BJ72" s="98">
        <v>38.69</v>
      </c>
      <c r="BK72" s="98">
        <v>97.27</v>
      </c>
      <c r="BL72" s="2"/>
      <c r="BM72" s="98">
        <v>0.1</v>
      </c>
      <c r="BN72" s="98">
        <v>0.13</v>
      </c>
      <c r="BO72" s="98">
        <v>0.13</v>
      </c>
      <c r="BP72" s="98">
        <v>0.1</v>
      </c>
      <c r="BQ72" s="98">
        <v>0.28000000000000003</v>
      </c>
      <c r="BR72" s="98">
        <v>0.04</v>
      </c>
      <c r="BS72" s="98">
        <v>0.14000000000000001</v>
      </c>
      <c r="BT72" s="98">
        <v>0.05</v>
      </c>
      <c r="BU72" s="98">
        <v>0.09</v>
      </c>
      <c r="BV72" s="98">
        <v>0.51</v>
      </c>
      <c r="BW72" s="98">
        <v>0.03</v>
      </c>
      <c r="BX72" s="98">
        <v>0.02</v>
      </c>
      <c r="BY72" s="98">
        <v>0.03</v>
      </c>
    </row>
    <row r="73" spans="1:77" ht="14" customHeight="1">
      <c r="A73" s="2" t="s">
        <v>1306</v>
      </c>
      <c r="B73" s="96">
        <v>43.99</v>
      </c>
      <c r="C73" s="96">
        <v>1.47</v>
      </c>
      <c r="D73" s="96">
        <v>5.69</v>
      </c>
      <c r="E73" s="96">
        <v>-0.01</v>
      </c>
      <c r="F73" s="96">
        <v>27.57</v>
      </c>
      <c r="G73" s="96">
        <v>0.69</v>
      </c>
      <c r="H73" s="96">
        <v>6.31</v>
      </c>
      <c r="I73" s="96">
        <v>9.25</v>
      </c>
      <c r="J73" s="96">
        <v>1.96</v>
      </c>
      <c r="K73" s="96">
        <v>0.53</v>
      </c>
      <c r="L73" s="96">
        <v>7.0000000000000007E-2</v>
      </c>
      <c r="M73" s="96">
        <v>0.34</v>
      </c>
      <c r="N73" s="96">
        <v>-0.01</v>
      </c>
      <c r="O73" s="96">
        <v>0.01</v>
      </c>
      <c r="P73" s="96">
        <v>97.87</v>
      </c>
      <c r="U73" s="96"/>
      <c r="X73" s="96">
        <v>1.0616232677890831</v>
      </c>
      <c r="Y73" s="96">
        <f t="shared" si="18"/>
        <v>1.972806044535802</v>
      </c>
      <c r="Z73" s="96">
        <f t="shared" si="19"/>
        <v>0.31564896712572832</v>
      </c>
      <c r="AA73" s="98" t="s">
        <v>1253</v>
      </c>
      <c r="AB73" s="98" t="s">
        <v>1253</v>
      </c>
      <c r="AC73" s="96">
        <v>6.9639777870000854</v>
      </c>
      <c r="AD73" s="96">
        <v>0.40157819453606886</v>
      </c>
      <c r="AE73" s="98" t="s">
        <v>1254</v>
      </c>
      <c r="AF73" s="96">
        <v>0.39202695597036041</v>
      </c>
      <c r="AW73" s="98">
        <v>7.0000000000000007E-2</v>
      </c>
      <c r="AX73" s="98">
        <v>1.45</v>
      </c>
      <c r="AY73" s="98">
        <v>3.81</v>
      </c>
      <c r="AZ73" s="98">
        <v>3.01</v>
      </c>
      <c r="BA73" s="98">
        <v>20.56</v>
      </c>
      <c r="BB73" s="98">
        <v>0.44</v>
      </c>
      <c r="BC73" s="98">
        <v>6.61</v>
      </c>
      <c r="BD73" s="98">
        <v>0.88</v>
      </c>
      <c r="BE73" s="98">
        <v>0.53</v>
      </c>
      <c r="BF73" s="98">
        <v>21.43</v>
      </c>
      <c r="BG73" s="98">
        <v>0.34</v>
      </c>
      <c r="BH73" s="98">
        <v>0</v>
      </c>
      <c r="BI73" s="98">
        <v>0</v>
      </c>
      <c r="BJ73" s="98">
        <v>38.729999999999997</v>
      </c>
      <c r="BK73" s="98">
        <v>97.86</v>
      </c>
      <c r="BL73" s="2"/>
      <c r="BM73" s="98">
        <v>0.11</v>
      </c>
      <c r="BN73" s="98">
        <v>0.13</v>
      </c>
      <c r="BO73" s="98">
        <v>0.13</v>
      </c>
      <c r="BP73" s="98">
        <v>0.1</v>
      </c>
      <c r="BQ73" s="98">
        <v>0.28000000000000003</v>
      </c>
      <c r="BR73" s="98">
        <v>0.04</v>
      </c>
      <c r="BS73" s="98">
        <v>0.14000000000000001</v>
      </c>
      <c r="BT73" s="98">
        <v>0.05</v>
      </c>
      <c r="BU73" s="98">
        <v>0.09</v>
      </c>
      <c r="BV73" s="98">
        <v>0.51</v>
      </c>
      <c r="BW73" s="98">
        <v>0.04</v>
      </c>
      <c r="BX73" s="98">
        <v>0.02</v>
      </c>
      <c r="BY73" s="98">
        <v>0.03</v>
      </c>
    </row>
    <row r="74" spans="1:77" ht="14" customHeight="1">
      <c r="A74" s="2" t="s">
        <v>1307</v>
      </c>
      <c r="B74" s="96">
        <v>44.44</v>
      </c>
      <c r="C74" s="96">
        <v>1.41</v>
      </c>
      <c r="D74" s="96">
        <v>5.57</v>
      </c>
      <c r="E74" s="96">
        <v>0.02</v>
      </c>
      <c r="F74" s="96">
        <v>27.24</v>
      </c>
      <c r="G74" s="96">
        <v>0.66</v>
      </c>
      <c r="H74" s="96">
        <v>6.47</v>
      </c>
      <c r="I74" s="96">
        <v>9.2200000000000006</v>
      </c>
      <c r="J74" s="96">
        <v>1.93</v>
      </c>
      <c r="K74" s="96">
        <v>0.43</v>
      </c>
      <c r="L74" s="96">
        <v>0.01</v>
      </c>
      <c r="M74" s="96">
        <v>0.28000000000000003</v>
      </c>
      <c r="N74" s="96">
        <v>0.02</v>
      </c>
      <c r="O74" s="96">
        <v>-0.01</v>
      </c>
      <c r="P74" s="96">
        <v>97.67</v>
      </c>
      <c r="U74" s="96"/>
      <c r="X74" s="96">
        <v>1.037130629431098</v>
      </c>
      <c r="Y74" s="96">
        <f t="shared" si="18"/>
        <v>1.9135519811333186</v>
      </c>
      <c r="Z74" s="96">
        <f t="shared" si="19"/>
        <v>0.30616831698133096</v>
      </c>
      <c r="AA74" s="98" t="s">
        <v>1253</v>
      </c>
      <c r="AB74" s="98" t="s">
        <v>1253</v>
      </c>
      <c r="AC74" s="96">
        <v>7.0209772957804164</v>
      </c>
      <c r="AD74" s="96">
        <v>0.41067620401313432</v>
      </c>
      <c r="AE74" s="98" t="s">
        <v>1254</v>
      </c>
      <c r="AF74" s="96">
        <v>0.39241637628610193</v>
      </c>
      <c r="AW74" s="98">
        <v>0.01</v>
      </c>
      <c r="AX74" s="98">
        <v>1.43</v>
      </c>
      <c r="AY74" s="98">
        <v>3.9</v>
      </c>
      <c r="AZ74" s="98">
        <v>2.95</v>
      </c>
      <c r="BA74" s="98">
        <v>20.77</v>
      </c>
      <c r="BB74" s="98">
        <v>0.36</v>
      </c>
      <c r="BC74" s="98">
        <v>6.59</v>
      </c>
      <c r="BD74" s="98">
        <v>0.84</v>
      </c>
      <c r="BE74" s="98">
        <v>0.51</v>
      </c>
      <c r="BF74" s="98">
        <v>21.18</v>
      </c>
      <c r="BG74" s="98">
        <v>0.28000000000000003</v>
      </c>
      <c r="BH74" s="98">
        <v>-0.01</v>
      </c>
      <c r="BI74" s="98">
        <v>0.01</v>
      </c>
      <c r="BJ74" s="98">
        <v>38.840000000000003</v>
      </c>
      <c r="BK74" s="98">
        <v>97.66</v>
      </c>
      <c r="BL74" s="2"/>
      <c r="BM74" s="98">
        <v>0.1</v>
      </c>
      <c r="BN74" s="98">
        <v>0.13</v>
      </c>
      <c r="BO74" s="98">
        <v>0.13</v>
      </c>
      <c r="BP74" s="98">
        <v>0.1</v>
      </c>
      <c r="BQ74" s="98">
        <v>0.28000000000000003</v>
      </c>
      <c r="BR74" s="98">
        <v>0.04</v>
      </c>
      <c r="BS74" s="98">
        <v>0.14000000000000001</v>
      </c>
      <c r="BT74" s="98">
        <v>0.05</v>
      </c>
      <c r="BU74" s="98">
        <v>0.09</v>
      </c>
      <c r="BV74" s="98">
        <v>0.51</v>
      </c>
      <c r="BW74" s="98">
        <v>0.03</v>
      </c>
      <c r="BX74" s="98">
        <v>0.02</v>
      </c>
      <c r="BY74" s="98">
        <v>0.03</v>
      </c>
    </row>
    <row r="75" spans="1:77" s="293" customFormat="1" ht="14" customHeight="1">
      <c r="B75" s="292"/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4"/>
      <c r="S75" s="294"/>
      <c r="T75" s="292"/>
      <c r="U75" s="292"/>
      <c r="V75" s="292"/>
      <c r="W75" s="294"/>
      <c r="X75" s="96"/>
      <c r="Y75" s="292"/>
      <c r="Z75" s="96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</row>
    <row r="76" spans="1:77" s="293" customFormat="1" ht="14" customHeight="1">
      <c r="B76" s="292"/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4"/>
      <c r="S76" s="294"/>
      <c r="T76" s="292"/>
      <c r="U76" s="292"/>
      <c r="V76" s="292"/>
      <c r="W76" s="294"/>
      <c r="X76" s="96"/>
      <c r="Y76" s="292"/>
      <c r="Z76" s="96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5"/>
      <c r="BY76" s="295"/>
    </row>
    <row r="77" spans="1:77" ht="14" customHeight="1">
      <c r="U77" s="96"/>
      <c r="Z77" s="96"/>
    </row>
    <row r="78" spans="1:77" ht="14" customHeight="1">
      <c r="A78" s="29" t="s">
        <v>1308</v>
      </c>
      <c r="U78" s="96"/>
      <c r="X78" s="96"/>
      <c r="Z78" s="96"/>
      <c r="AC78" s="96"/>
      <c r="AD78" s="96"/>
      <c r="AF78" s="96"/>
    </row>
    <row r="79" spans="1:77" ht="14" customHeight="1">
      <c r="A79" s="2" t="s">
        <v>1309</v>
      </c>
      <c r="B79" s="2">
        <v>48.585999999999999</v>
      </c>
      <c r="C79" s="2">
        <v>0.97399999999999998</v>
      </c>
      <c r="D79" s="2">
        <v>4.8620000000000001</v>
      </c>
      <c r="E79" s="2">
        <v>1.7999999999999999E-2</v>
      </c>
      <c r="F79" s="2">
        <v>18.966999999999999</v>
      </c>
      <c r="G79" s="2">
        <v>0.34200000000000003</v>
      </c>
      <c r="H79" s="2">
        <v>11.882</v>
      </c>
      <c r="I79" s="2">
        <v>10.484</v>
      </c>
      <c r="J79" s="2">
        <v>0.751</v>
      </c>
      <c r="K79" s="2">
        <v>0.56100000000000005</v>
      </c>
      <c r="L79" s="2">
        <v>0.32</v>
      </c>
      <c r="M79" s="96">
        <v>0.36799999999999999</v>
      </c>
      <c r="N79" s="2">
        <v>1.7999999999999999E-2</v>
      </c>
      <c r="R79" s="99">
        <v>756.73446768316148</v>
      </c>
      <c r="S79" s="98">
        <v>22</v>
      </c>
      <c r="T79" s="96">
        <v>1.2933815861623499</v>
      </c>
      <c r="U79" s="96">
        <f t="shared" ref="U79:U81" si="20">T79+0.69</f>
        <v>1.9833815861623498</v>
      </c>
      <c r="V79" s="96">
        <v>-13.539537736433125</v>
      </c>
      <c r="W79" s="96">
        <v>0.4</v>
      </c>
      <c r="X79" s="96">
        <v>0.83767507671564023</v>
      </c>
      <c r="Y79" s="96">
        <v>1.5184159480915307</v>
      </c>
      <c r="Z79" s="96">
        <f t="shared" ref="Z79:Z81" si="21">0.16*Y79</f>
        <v>0.24294655169464491</v>
      </c>
      <c r="AA79" s="98" t="s">
        <v>1253</v>
      </c>
      <c r="AB79" s="98" t="s">
        <v>1254</v>
      </c>
      <c r="AC79" s="96">
        <v>7.1025947916633392</v>
      </c>
      <c r="AD79" s="96">
        <v>0.68704709424005583</v>
      </c>
      <c r="AE79" s="98" t="s">
        <v>1254</v>
      </c>
      <c r="AF79" s="96">
        <v>0.49132800425265094</v>
      </c>
    </row>
    <row r="80" spans="1:77" ht="14" customHeight="1">
      <c r="A80" s="2" t="s">
        <v>1310</v>
      </c>
      <c r="B80" s="2">
        <v>46.829000000000001</v>
      </c>
      <c r="C80" s="2">
        <v>1.48</v>
      </c>
      <c r="D80" s="2">
        <v>6.1920000000000002</v>
      </c>
      <c r="E80" s="2">
        <v>0</v>
      </c>
      <c r="F80" s="2">
        <v>19.361999999999998</v>
      </c>
      <c r="G80" s="2">
        <v>0.34599999999999997</v>
      </c>
      <c r="H80" s="2">
        <v>10.922000000000001</v>
      </c>
      <c r="I80" s="2">
        <v>10.407999999999999</v>
      </c>
      <c r="J80" s="2">
        <v>0.94299999999999995</v>
      </c>
      <c r="K80" s="2">
        <v>0.40300000000000002</v>
      </c>
      <c r="L80" s="2">
        <v>0.17299999999999999</v>
      </c>
      <c r="M80" s="96">
        <v>0.23300000000000001</v>
      </c>
      <c r="N80" s="2">
        <v>0</v>
      </c>
      <c r="R80" s="296">
        <v>763.53366163504688</v>
      </c>
      <c r="S80" s="296">
        <v>22</v>
      </c>
      <c r="T80" s="297">
        <v>0.76858683699537167</v>
      </c>
      <c r="U80" s="96">
        <f t="shared" si="20"/>
        <v>1.4585868369953716</v>
      </c>
      <c r="V80" s="297">
        <v>-13.896825858538321</v>
      </c>
      <c r="W80" s="297">
        <v>0.4</v>
      </c>
      <c r="X80" s="96">
        <v>1.077981014387499</v>
      </c>
      <c r="Y80" s="96">
        <v>2.0802556223495254</v>
      </c>
      <c r="Z80" s="96">
        <f t="shared" si="21"/>
        <v>0.33284089957592405</v>
      </c>
      <c r="AA80" s="98" t="s">
        <v>1253</v>
      </c>
      <c r="AB80" s="98" t="s">
        <v>1254</v>
      </c>
      <c r="AC80" s="96">
        <v>6.9173587747727261</v>
      </c>
      <c r="AD80" s="96">
        <v>0.65375828089569132</v>
      </c>
      <c r="AE80" s="98" t="s">
        <v>1254</v>
      </c>
      <c r="AF80" s="96">
        <v>0.46743994026845676</v>
      </c>
    </row>
    <row r="81" spans="1:97" ht="14" customHeight="1">
      <c r="A81" s="2" t="s">
        <v>1311</v>
      </c>
      <c r="B81" s="2">
        <v>47.011000000000003</v>
      </c>
      <c r="C81" s="2">
        <v>1.462</v>
      </c>
      <c r="D81" s="2">
        <v>6.0359999999999996</v>
      </c>
      <c r="E81" s="2">
        <v>1.4E-2</v>
      </c>
      <c r="F81" s="2">
        <v>19.695</v>
      </c>
      <c r="G81" s="2">
        <v>0.34300000000000003</v>
      </c>
      <c r="H81" s="2">
        <v>10.795999999999999</v>
      </c>
      <c r="I81" s="2">
        <v>10.199999999999999</v>
      </c>
      <c r="J81" s="2">
        <v>0.90800000000000003</v>
      </c>
      <c r="K81" s="2">
        <v>0.372</v>
      </c>
      <c r="L81" s="2">
        <v>0.17</v>
      </c>
      <c r="M81" s="96">
        <v>0.248</v>
      </c>
      <c r="N81" s="2">
        <v>1.4E-2</v>
      </c>
      <c r="R81" s="99">
        <v>764.72384823906532</v>
      </c>
      <c r="S81" s="98">
        <v>22</v>
      </c>
      <c r="T81" s="96">
        <v>0.76719232672014126</v>
      </c>
      <c r="U81" s="96">
        <f t="shared" si="20"/>
        <v>1.4571923267201412</v>
      </c>
      <c r="V81" s="96">
        <v>-13.87277037136354</v>
      </c>
      <c r="W81" s="96">
        <v>0.4</v>
      </c>
      <c r="X81" s="96">
        <v>1.0498231546900201</v>
      </c>
      <c r="Y81" s="96">
        <v>2.012558490255548</v>
      </c>
      <c r="Z81" s="96">
        <f t="shared" si="21"/>
        <v>0.32200935844088768</v>
      </c>
      <c r="AA81" s="98" t="s">
        <v>1253</v>
      </c>
      <c r="AB81" s="98" t="s">
        <v>1254</v>
      </c>
      <c r="AC81" s="96">
        <v>6.937638378926394</v>
      </c>
      <c r="AD81" s="96">
        <v>0.65749486826176351</v>
      </c>
      <c r="AE81" s="98" t="s">
        <v>1254</v>
      </c>
      <c r="AF81" s="96">
        <v>0.49097858965444219</v>
      </c>
    </row>
    <row r="82" spans="1:97" s="29" customFormat="1" ht="14" customHeight="1">
      <c r="A82" s="190" t="s">
        <v>1312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159">
        <f>AVERAGE(M79:M81)</f>
        <v>0.28299999999999997</v>
      </c>
      <c r="N82" s="91"/>
      <c r="O82" s="91"/>
      <c r="P82" s="91"/>
      <c r="Q82" s="91"/>
      <c r="R82" s="160">
        <f>AVERAGE(R79:R81)</f>
        <v>761.66399251909115</v>
      </c>
      <c r="S82" s="159"/>
      <c r="T82" s="159">
        <f t="shared" ref="T82:Y82" si="22">AVERAGE(T79:T81)</f>
        <v>0.9430535832926209</v>
      </c>
      <c r="U82" s="159">
        <f t="shared" si="22"/>
        <v>1.633053583292621</v>
      </c>
      <c r="V82" s="159">
        <f t="shared" si="22"/>
        <v>-13.769711322111661</v>
      </c>
      <c r="W82" s="159">
        <f t="shared" si="22"/>
        <v>0.40000000000000008</v>
      </c>
      <c r="X82" s="159">
        <f t="shared" si="22"/>
        <v>0.98849308193105312</v>
      </c>
      <c r="Y82" s="159">
        <f t="shared" si="22"/>
        <v>1.8704100202322014</v>
      </c>
      <c r="Z82" s="159"/>
      <c r="AA82" s="159"/>
      <c r="AB82" s="159"/>
      <c r="AC82" s="159"/>
      <c r="AD82" s="159"/>
      <c r="AE82" s="159"/>
      <c r="AF82" s="159">
        <f t="shared" ref="AF82" si="23">AVERAGE(AF79:AF81)</f>
        <v>0.48324884472518326</v>
      </c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</row>
    <row r="83" spans="1:97" s="29" customFormat="1" ht="14" customHeight="1">
      <c r="A83" s="188" t="s">
        <v>204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159">
        <f>_xlfn.STDEV.S(M79:M81)</f>
        <v>7.3993242934743672E-2</v>
      </c>
      <c r="N83" s="91"/>
      <c r="O83" s="91"/>
      <c r="P83" s="91"/>
      <c r="Q83" s="91"/>
      <c r="R83" s="160">
        <f>_xlfn.STDEV.S(R79:R81)</f>
        <v>4.3103709085335531</v>
      </c>
      <c r="S83" s="159"/>
      <c r="T83" s="159">
        <f t="shared" ref="T83:Y83" si="24">_xlfn.STDEV.S(T79:T81)</f>
        <v>0.3033937513541542</v>
      </c>
      <c r="U83" s="159">
        <f>_xlfn.STDEV.S(U79:U81)</f>
        <v>0.30339375135415458</v>
      </c>
      <c r="V83" s="159">
        <f t="shared" si="24"/>
        <v>0.19969871375121587</v>
      </c>
      <c r="W83" s="159"/>
      <c r="X83" s="159">
        <f t="shared" si="24"/>
        <v>0.13136882921208026</v>
      </c>
      <c r="Y83" s="159">
        <f t="shared" si="24"/>
        <v>0.30670930135890173</v>
      </c>
      <c r="Z83" s="159"/>
      <c r="AA83" s="159"/>
      <c r="AB83" s="159"/>
      <c r="AC83" s="159"/>
      <c r="AD83" s="159"/>
      <c r="AE83" s="159"/>
      <c r="AF83" s="159">
        <f t="shared" ref="AF83" si="25">_xlfn.STDEV.S(AF79:AF81)</f>
        <v>1.3692027524504598E-2</v>
      </c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</row>
    <row r="84" spans="1:97" ht="14" customHeight="1">
      <c r="A84" s="183"/>
    </row>
    <row r="85" spans="1:97" ht="14" customHeight="1">
      <c r="A85" s="183"/>
    </row>
    <row r="86" spans="1:97" ht="14" customHeight="1">
      <c r="A86" s="298" t="s">
        <v>196</v>
      </c>
    </row>
    <row r="87" spans="1:97" ht="14" customHeight="1">
      <c r="A87" s="52" t="s">
        <v>1313</v>
      </c>
    </row>
    <row r="88" spans="1:97" ht="14" customHeight="1">
      <c r="A88" s="183"/>
    </row>
    <row r="89" spans="1:97" ht="14" customHeight="1">
      <c r="A89" s="299" t="s">
        <v>1014</v>
      </c>
      <c r="B89" s="264"/>
      <c r="C89" s="264"/>
      <c r="D89" s="264"/>
      <c r="E89" s="264"/>
      <c r="F89" s="264"/>
      <c r="G89" s="264"/>
      <c r="H89" s="264"/>
      <c r="I89" s="264"/>
      <c r="J89" s="264"/>
      <c r="K89" s="264"/>
      <c r="L89" s="264"/>
      <c r="M89" s="264"/>
      <c r="N89" s="264"/>
      <c r="O89" s="264"/>
      <c r="P89" s="264"/>
      <c r="Q89" s="264"/>
      <c r="R89" s="264"/>
      <c r="S89" s="264"/>
      <c r="T89" s="264"/>
      <c r="U89" s="264"/>
      <c r="V89" s="264"/>
      <c r="W89" s="264"/>
      <c r="X89" s="264"/>
      <c r="Y89" s="264"/>
      <c r="Z89" s="264"/>
      <c r="AA89" s="264"/>
      <c r="AB89" s="264"/>
      <c r="AC89" s="264"/>
      <c r="AD89" s="264"/>
      <c r="AE89" s="264"/>
      <c r="AF89" s="264"/>
    </row>
    <row r="90" spans="1:97" ht="14" customHeight="1">
      <c r="A90" s="298"/>
    </row>
    <row r="91" spans="1:97" ht="14" customHeight="1">
      <c r="A91" s="300" t="s">
        <v>1132</v>
      </c>
      <c r="B91" s="3" t="s">
        <v>1314</v>
      </c>
    </row>
    <row r="92" spans="1:97" ht="14" customHeight="1">
      <c r="A92" s="298" t="s">
        <v>1134</v>
      </c>
      <c r="B92" s="3" t="s">
        <v>1192</v>
      </c>
    </row>
    <row r="93" spans="1:97" ht="14" customHeight="1">
      <c r="A93" s="298" t="s">
        <v>1136</v>
      </c>
      <c r="B93" s="3" t="s">
        <v>1137</v>
      </c>
    </row>
    <row r="94" spans="1:97" ht="14" customHeight="1">
      <c r="A94" s="298"/>
      <c r="BZ94" s="98"/>
      <c r="CA94" s="98"/>
      <c r="CB94" s="98"/>
      <c r="CC94" s="98"/>
      <c r="CD94" s="98"/>
      <c r="CE94" s="98"/>
      <c r="CF94" s="98"/>
      <c r="CG94" s="98"/>
      <c r="CH94" s="98"/>
      <c r="CI94" s="98"/>
      <c r="CJ94" s="98"/>
      <c r="CK94" s="98"/>
      <c r="CL94" s="98"/>
      <c r="CM94" s="98"/>
      <c r="CN94" s="98"/>
      <c r="CO94" s="98"/>
      <c r="CP94" s="98"/>
      <c r="CQ94" s="98"/>
      <c r="CR94" s="98"/>
      <c r="CS94" s="98"/>
    </row>
    <row r="95" spans="1:97" ht="14" customHeight="1">
      <c r="A95" s="301" t="s">
        <v>1138</v>
      </c>
      <c r="B95" s="277" t="s">
        <v>1139</v>
      </c>
      <c r="C95" s="277" t="s">
        <v>1139</v>
      </c>
      <c r="D95" s="277" t="s">
        <v>1139</v>
      </c>
      <c r="E95" s="277" t="s">
        <v>1139</v>
      </c>
      <c r="F95" s="277" t="s">
        <v>1139</v>
      </c>
      <c r="G95" s="277" t="s">
        <v>1139</v>
      </c>
      <c r="H95" s="277" t="s">
        <v>1139</v>
      </c>
      <c r="I95" s="277" t="s">
        <v>1139</v>
      </c>
      <c r="J95" s="277" t="s">
        <v>1139</v>
      </c>
      <c r="K95" s="277" t="s">
        <v>1139</v>
      </c>
      <c r="L95" s="277" t="s">
        <v>1139</v>
      </c>
      <c r="M95" s="277" t="s">
        <v>1139</v>
      </c>
      <c r="N95" s="277" t="s">
        <v>1139</v>
      </c>
      <c r="O95" s="302"/>
    </row>
    <row r="96" spans="1:97" ht="14" customHeight="1">
      <c r="A96" s="303" t="s">
        <v>1140</v>
      </c>
      <c r="B96" s="98" t="s">
        <v>1315</v>
      </c>
      <c r="C96" s="98" t="s">
        <v>1316</v>
      </c>
      <c r="D96" s="98" t="s">
        <v>1317</v>
      </c>
      <c r="E96" s="98" t="s">
        <v>1318</v>
      </c>
      <c r="F96" s="98" t="s">
        <v>1319</v>
      </c>
      <c r="G96" s="98" t="s">
        <v>1320</v>
      </c>
      <c r="H96" s="98" t="s">
        <v>1321</v>
      </c>
      <c r="I96" s="98" t="s">
        <v>1322</v>
      </c>
      <c r="J96" s="98" t="s">
        <v>1323</v>
      </c>
      <c r="K96" s="98" t="s">
        <v>1324</v>
      </c>
      <c r="L96" s="98" t="s">
        <v>1325</v>
      </c>
      <c r="M96" s="98" t="s">
        <v>1326</v>
      </c>
      <c r="N96" s="98" t="s">
        <v>1327</v>
      </c>
      <c r="O96" s="302"/>
    </row>
    <row r="97" spans="1:15" ht="14" customHeight="1">
      <c r="A97" s="304" t="s">
        <v>1328</v>
      </c>
      <c r="B97" s="98" t="s">
        <v>1329</v>
      </c>
      <c r="C97" s="98" t="s">
        <v>1330</v>
      </c>
      <c r="D97" s="98" t="s">
        <v>1331</v>
      </c>
      <c r="E97" s="98" t="s">
        <v>1329</v>
      </c>
      <c r="F97" s="98" t="s">
        <v>1332</v>
      </c>
      <c r="G97" s="98" t="s">
        <v>1329</v>
      </c>
      <c r="H97" s="98" t="s">
        <v>1330</v>
      </c>
      <c r="I97" s="98" t="s">
        <v>1331</v>
      </c>
      <c r="J97" s="98" t="s">
        <v>1332</v>
      </c>
      <c r="K97" s="98" t="s">
        <v>1330</v>
      </c>
      <c r="L97" s="98" t="s">
        <v>1329</v>
      </c>
      <c r="M97" s="98" t="s">
        <v>1331</v>
      </c>
      <c r="N97" s="98" t="s">
        <v>1333</v>
      </c>
      <c r="O97" s="302"/>
    </row>
    <row r="98" spans="1:15" ht="14" customHeight="1">
      <c r="A98" s="304" t="s">
        <v>1214</v>
      </c>
      <c r="B98" s="98" t="s">
        <v>1334</v>
      </c>
      <c r="C98" s="98" t="s">
        <v>1221</v>
      </c>
      <c r="D98" s="98" t="s">
        <v>1335</v>
      </c>
      <c r="E98" s="98" t="s">
        <v>1334</v>
      </c>
      <c r="F98" s="98" t="s">
        <v>1336</v>
      </c>
      <c r="G98" s="98" t="s">
        <v>1337</v>
      </c>
      <c r="H98" s="98" t="s">
        <v>1338</v>
      </c>
      <c r="I98" s="98" t="s">
        <v>1339</v>
      </c>
      <c r="J98" s="98" t="s">
        <v>1340</v>
      </c>
      <c r="K98" s="98" t="s">
        <v>1334</v>
      </c>
      <c r="L98" s="98" t="s">
        <v>1341</v>
      </c>
      <c r="M98" s="98" t="s">
        <v>1342</v>
      </c>
      <c r="N98" s="98" t="s">
        <v>1343</v>
      </c>
      <c r="O98" s="302"/>
    </row>
    <row r="99" spans="1:15" ht="14" customHeight="1">
      <c r="A99" s="304" t="s">
        <v>1344</v>
      </c>
      <c r="B99" s="98">
        <v>20</v>
      </c>
      <c r="C99" s="98">
        <v>20</v>
      </c>
      <c r="D99" s="98">
        <v>20</v>
      </c>
      <c r="E99" s="98">
        <v>20</v>
      </c>
      <c r="F99" s="98">
        <v>20</v>
      </c>
      <c r="G99" s="98">
        <v>20</v>
      </c>
      <c r="H99" s="98">
        <v>20</v>
      </c>
      <c r="I99" s="98">
        <v>20</v>
      </c>
      <c r="J99" s="98">
        <v>20</v>
      </c>
      <c r="K99" s="98">
        <v>20</v>
      </c>
      <c r="L99" s="98">
        <v>20</v>
      </c>
      <c r="M99" s="98">
        <v>30</v>
      </c>
      <c r="N99" s="98">
        <v>30</v>
      </c>
      <c r="O99" s="302"/>
    </row>
    <row r="100" spans="1:15" ht="14" customHeight="1">
      <c r="A100" s="305" t="s">
        <v>1345</v>
      </c>
      <c r="B100" s="286">
        <v>237</v>
      </c>
      <c r="C100" s="282">
        <v>2.7E-2</v>
      </c>
      <c r="D100" s="282">
        <v>1.78E-2</v>
      </c>
      <c r="E100" s="282">
        <v>2.8000000000000001E-2</v>
      </c>
      <c r="F100" s="282">
        <v>6.6699999999999995E-2</v>
      </c>
      <c r="G100" s="282">
        <v>2.6599999999999999E-2</v>
      </c>
      <c r="H100" s="282">
        <v>2.5399999999999999E-2</v>
      </c>
      <c r="I100" s="282">
        <v>3.1199999999999999E-2</v>
      </c>
      <c r="J100" s="282">
        <v>6.0299999999999999E-2</v>
      </c>
      <c r="K100" s="282">
        <v>2.7E-2</v>
      </c>
      <c r="L100" s="282">
        <v>3.7100000000000001E-2</v>
      </c>
      <c r="M100" s="282">
        <v>1.9900000000000001E-2</v>
      </c>
      <c r="N100" s="282">
        <v>0.11219999999999999</v>
      </c>
      <c r="O100" s="302"/>
    </row>
    <row r="101" spans="1:15" ht="14" customHeight="1">
      <c r="A101" s="306"/>
    </row>
    <row r="102" spans="1:15" ht="14" customHeight="1">
      <c r="A102" s="306"/>
    </row>
    <row r="103" spans="1:15" ht="14" customHeight="1">
      <c r="A103" s="306"/>
    </row>
    <row r="104" spans="1:15" ht="14" customHeight="1">
      <c r="A104" s="306"/>
    </row>
    <row r="105" spans="1:15" ht="14" customHeight="1">
      <c r="A105" s="306"/>
    </row>
    <row r="106" spans="1:15" ht="14" customHeight="1">
      <c r="A106" s="307"/>
    </row>
    <row r="107" spans="1:15" ht="14" customHeight="1">
      <c r="A107" s="307"/>
    </row>
    <row r="108" spans="1:15" ht="14" customHeight="1">
      <c r="A108" s="307"/>
    </row>
    <row r="109" spans="1:15" ht="14" customHeight="1">
      <c r="A109" s="307"/>
    </row>
    <row r="110" spans="1:15" ht="14" customHeight="1">
      <c r="A110" s="307"/>
    </row>
    <row r="111" spans="1:15" ht="14" customHeight="1">
      <c r="A111" s="307"/>
    </row>
    <row r="112" spans="1:15" ht="14" customHeight="1">
      <c r="A112" s="307"/>
    </row>
    <row r="113" spans="1:1" ht="14" customHeight="1">
      <c r="A113" s="307"/>
    </row>
    <row r="114" spans="1:1" ht="14" customHeight="1">
      <c r="A114" s="307"/>
    </row>
    <row r="115" spans="1:1" ht="14" customHeight="1">
      <c r="A115" s="307"/>
    </row>
    <row r="116" spans="1:1" ht="14" customHeight="1">
      <c r="A116" s="306"/>
    </row>
    <row r="117" spans="1:1" ht="14" customHeight="1">
      <c r="A117" s="307"/>
    </row>
    <row r="118" spans="1:1" ht="14" customHeight="1">
      <c r="A118" s="307"/>
    </row>
    <row r="119" spans="1:1" ht="14" customHeight="1">
      <c r="A119" s="307"/>
    </row>
    <row r="120" spans="1:1" ht="14" customHeight="1">
      <c r="A120" s="307"/>
    </row>
    <row r="121" spans="1:1" ht="14" customHeight="1">
      <c r="A121" s="306"/>
    </row>
    <row r="122" spans="1:1" ht="14" customHeight="1">
      <c r="A122" s="306"/>
    </row>
    <row r="123" spans="1:1" ht="14" customHeight="1">
      <c r="A123" s="306"/>
    </row>
    <row r="124" spans="1:1" ht="14" customHeight="1">
      <c r="A124" s="307"/>
    </row>
    <row r="125" spans="1:1" ht="14" customHeight="1">
      <c r="A125" s="307"/>
    </row>
    <row r="126" spans="1:1" ht="14" customHeight="1">
      <c r="A126" s="307"/>
    </row>
    <row r="127" spans="1:1" ht="14" customHeight="1">
      <c r="A127" s="307"/>
    </row>
    <row r="128" spans="1:1" ht="14" customHeight="1">
      <c r="A128" s="307"/>
    </row>
    <row r="129" spans="1:1" ht="14" customHeight="1">
      <c r="A129" s="307"/>
    </row>
    <row r="130" spans="1:1" ht="14" customHeight="1">
      <c r="A130" s="307"/>
    </row>
    <row r="131" spans="1:1" ht="14" customHeight="1">
      <c r="A131" s="307"/>
    </row>
    <row r="132" spans="1:1" ht="14" customHeight="1">
      <c r="A132" s="307"/>
    </row>
    <row r="133" spans="1:1" ht="14" customHeight="1">
      <c r="A133" s="307"/>
    </row>
    <row r="134" spans="1:1" ht="14" customHeight="1">
      <c r="A134" s="306"/>
    </row>
    <row r="135" spans="1:1" ht="14" customHeight="1">
      <c r="A135" s="307"/>
    </row>
    <row r="136" spans="1:1" ht="14" customHeight="1">
      <c r="A136" s="307"/>
    </row>
    <row r="137" spans="1:1" ht="14" customHeight="1">
      <c r="A137" s="307"/>
    </row>
    <row r="138" spans="1:1" ht="14" customHeight="1">
      <c r="A138" s="306"/>
    </row>
    <row r="139" spans="1:1" ht="14" customHeight="1">
      <c r="A139" s="306"/>
    </row>
    <row r="140" spans="1:1" ht="14" customHeight="1">
      <c r="A140" s="307"/>
    </row>
    <row r="141" spans="1:1" ht="14" customHeight="1">
      <c r="A141" s="307"/>
    </row>
    <row r="142" spans="1:1" ht="14" customHeight="1">
      <c r="A142" s="307"/>
    </row>
    <row r="143" spans="1:1" ht="14" customHeight="1">
      <c r="A143" s="307"/>
    </row>
    <row r="144" spans="1:1" ht="14" customHeight="1">
      <c r="A144" s="307"/>
    </row>
    <row r="145" spans="1:1" ht="14" customHeight="1">
      <c r="A145" s="307"/>
    </row>
    <row r="146" spans="1:1" ht="14" customHeight="1">
      <c r="A146" s="307"/>
    </row>
    <row r="147" spans="1:1" ht="14" customHeight="1">
      <c r="A147" s="307"/>
    </row>
    <row r="148" spans="1:1" ht="14" customHeight="1">
      <c r="A148" s="307"/>
    </row>
    <row r="149" spans="1:1" ht="14" customHeight="1">
      <c r="A149" s="307"/>
    </row>
    <row r="150" spans="1:1" ht="14" customHeight="1">
      <c r="A150" s="306"/>
    </row>
    <row r="151" spans="1:1" ht="14" customHeight="1">
      <c r="A151" s="307"/>
    </row>
    <row r="152" spans="1:1" ht="14" customHeight="1">
      <c r="A152" s="307"/>
    </row>
    <row r="153" spans="1:1" ht="14" customHeight="1">
      <c r="A153" s="307"/>
    </row>
    <row r="154" spans="1:1" ht="14" customHeight="1">
      <c r="A154" s="306"/>
    </row>
    <row r="155" spans="1:1" ht="14" customHeight="1">
      <c r="A155" s="306"/>
    </row>
    <row r="156" spans="1:1" ht="14" customHeight="1">
      <c r="A156" s="306"/>
    </row>
    <row r="157" spans="1:1" ht="14" customHeight="1">
      <c r="A157" s="308"/>
    </row>
    <row r="158" spans="1:1" ht="14" customHeight="1">
      <c r="A158" s="308"/>
    </row>
    <row r="159" spans="1:1" ht="14" customHeight="1">
      <c r="A159" s="308"/>
    </row>
    <row r="160" spans="1:1" ht="14" customHeight="1">
      <c r="A160" s="308"/>
    </row>
    <row r="161" spans="1:1" ht="14" customHeight="1">
      <c r="A161" s="306"/>
    </row>
    <row r="162" spans="1:1" ht="14" customHeight="1">
      <c r="A162" s="306"/>
    </row>
    <row r="163" spans="1:1" ht="14" customHeight="1">
      <c r="A163" s="308"/>
    </row>
    <row r="164" spans="1:1" ht="14" customHeight="1">
      <c r="A164" s="308"/>
    </row>
    <row r="165" spans="1:1" ht="14" customHeight="1">
      <c r="A165" s="308"/>
    </row>
    <row r="166" spans="1:1" ht="14" customHeight="1">
      <c r="A166" s="308"/>
    </row>
    <row r="167" spans="1:1" ht="14" customHeight="1">
      <c r="A167" s="308"/>
    </row>
    <row r="168" spans="1:1" ht="14" customHeight="1">
      <c r="A168" s="308"/>
    </row>
    <row r="169" spans="1:1" ht="14" customHeight="1">
      <c r="A169" s="307"/>
    </row>
    <row r="170" spans="1:1" ht="14" customHeight="1">
      <c r="A170" s="307"/>
    </row>
    <row r="171" spans="1:1" ht="14" customHeight="1">
      <c r="A171" s="309"/>
    </row>
    <row r="172" spans="1:1" ht="14" customHeight="1">
      <c r="A172" s="309"/>
    </row>
    <row r="173" spans="1:1" ht="14" customHeight="1">
      <c r="A173" s="310"/>
    </row>
    <row r="174" spans="1:1" ht="14" customHeight="1">
      <c r="A174" s="311"/>
    </row>
    <row r="175" spans="1:1" ht="14" customHeight="1">
      <c r="A175" s="311"/>
    </row>
    <row r="176" spans="1:1" ht="14" customHeight="1">
      <c r="A176" s="309"/>
    </row>
    <row r="177" spans="1:1" ht="14" customHeight="1">
      <c r="A177" s="307"/>
    </row>
    <row r="178" spans="1:1" ht="14" customHeight="1">
      <c r="A178" s="307"/>
    </row>
    <row r="179" spans="1:1" ht="14" customHeight="1">
      <c r="A179" s="309"/>
    </row>
    <row r="180" spans="1:1" ht="14" customHeight="1">
      <c r="A180" s="307"/>
    </row>
    <row r="181" spans="1:1" ht="14" customHeight="1">
      <c r="A181" s="312"/>
    </row>
    <row r="182" spans="1:1" ht="14" customHeight="1">
      <c r="A182" s="312"/>
    </row>
    <row r="183" spans="1:1" ht="14" customHeight="1">
      <c r="A183" s="307"/>
    </row>
    <row r="184" spans="1:1" ht="14" customHeight="1">
      <c r="A184" s="309"/>
    </row>
    <row r="185" spans="1:1" ht="14" customHeight="1">
      <c r="A185" s="313"/>
    </row>
    <row r="186" spans="1:1" ht="14" customHeight="1">
      <c r="A186" s="307"/>
    </row>
    <row r="187" spans="1:1" ht="14" customHeight="1">
      <c r="A187" s="307"/>
    </row>
    <row r="188" spans="1:1" ht="14" customHeight="1">
      <c r="A188" s="309"/>
    </row>
    <row r="189" spans="1:1" ht="14" customHeight="1">
      <c r="A189" s="30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DEDE9-1E3F-3748-A977-F01A5B695F3E}">
  <dimension ref="A1:O53"/>
  <sheetViews>
    <sheetView tabSelected="1" topLeftCell="A18" workbookViewId="0">
      <selection activeCell="H30" sqref="H30"/>
    </sheetView>
  </sheetViews>
  <sheetFormatPr baseColWidth="10" defaultRowHeight="15"/>
  <cols>
    <col min="1" max="1" width="19.1640625" customWidth="1"/>
    <col min="3" max="15" width="9.33203125" customWidth="1"/>
  </cols>
  <sheetData>
    <row r="1" spans="1:15" s="60" customFormat="1" ht="14" customHeight="1">
      <c r="A1" s="29" t="s">
        <v>170</v>
      </c>
      <c r="B1" s="29" t="s">
        <v>1164</v>
      </c>
      <c r="C1" s="91" t="s">
        <v>111</v>
      </c>
      <c r="D1" s="91" t="s">
        <v>112</v>
      </c>
      <c r="E1" s="91" t="s">
        <v>113</v>
      </c>
      <c r="F1" s="91" t="s">
        <v>118</v>
      </c>
      <c r="G1" s="91" t="s">
        <v>1165</v>
      </c>
      <c r="H1" s="91" t="s">
        <v>1</v>
      </c>
      <c r="I1" s="91" t="s">
        <v>2</v>
      </c>
      <c r="J1" s="91" t="s">
        <v>3</v>
      </c>
      <c r="K1" s="91" t="s">
        <v>1166</v>
      </c>
      <c r="L1" s="91" t="s">
        <v>1167</v>
      </c>
      <c r="M1" s="91" t="s">
        <v>1168</v>
      </c>
      <c r="N1" s="91" t="s">
        <v>1169</v>
      </c>
      <c r="O1" s="91" t="s">
        <v>1170</v>
      </c>
    </row>
    <row r="2" spans="1:15" ht="14" customHeight="1">
      <c r="A2" s="2" t="s">
        <v>1171</v>
      </c>
      <c r="B2" s="2" t="s">
        <v>1172</v>
      </c>
      <c r="C2" s="96">
        <v>6.5855999999999998E-2</v>
      </c>
      <c r="D2" s="96">
        <v>45.025799999999997</v>
      </c>
      <c r="E2" s="96" t="s">
        <v>1038</v>
      </c>
      <c r="F2" s="96">
        <v>2.2835999999999999E-2</v>
      </c>
      <c r="G2" s="96">
        <v>49.026699999999998</v>
      </c>
      <c r="H2" s="96">
        <v>1.03966</v>
      </c>
      <c r="I2" s="96">
        <v>4.0807999999999997E-2</v>
      </c>
      <c r="J2" s="96">
        <v>0.33830300000000002</v>
      </c>
      <c r="K2" s="96" t="s">
        <v>1038</v>
      </c>
      <c r="L2" s="96">
        <v>0.174203</v>
      </c>
      <c r="M2" s="96">
        <v>2.3210999999999999E-2</v>
      </c>
      <c r="N2" s="96">
        <v>4.3741000000000002E-2</v>
      </c>
      <c r="O2" s="93">
        <v>95.801117999999988</v>
      </c>
    </row>
    <row r="3" spans="1:15" ht="14" customHeight="1">
      <c r="A3" s="2" t="s">
        <v>1173</v>
      </c>
      <c r="B3" s="2" t="s">
        <v>1172</v>
      </c>
      <c r="C3" s="96">
        <v>9.7312999999999997E-2</v>
      </c>
      <c r="D3" s="96">
        <v>44.982700000000001</v>
      </c>
      <c r="E3" s="96" t="s">
        <v>1038</v>
      </c>
      <c r="F3" s="96">
        <v>2.7362000000000001E-2</v>
      </c>
      <c r="G3" s="96">
        <v>49.7913</v>
      </c>
      <c r="H3" s="96">
        <v>1.05915</v>
      </c>
      <c r="I3" s="96">
        <v>2.1405E-2</v>
      </c>
      <c r="J3" s="96">
        <v>0.43239</v>
      </c>
      <c r="K3" s="96">
        <v>2.0514000000000001E-2</v>
      </c>
      <c r="L3" s="96">
        <v>0.19283</v>
      </c>
      <c r="M3" s="96">
        <v>1.8043E-2</v>
      </c>
      <c r="N3" s="96">
        <v>9.3714000000000006E-2</v>
      </c>
      <c r="O3" s="93">
        <v>96.736721000000017</v>
      </c>
    </row>
    <row r="4" spans="1:15" ht="14" customHeight="1">
      <c r="A4" s="2" t="s">
        <v>1174</v>
      </c>
      <c r="B4" s="2" t="s">
        <v>1172</v>
      </c>
      <c r="C4" s="96">
        <v>6.7082000000000003E-2</v>
      </c>
      <c r="D4" s="96">
        <v>46.0488</v>
      </c>
      <c r="E4" s="96" t="s">
        <v>1038</v>
      </c>
      <c r="F4" s="96">
        <v>1.1878E-2</v>
      </c>
      <c r="G4" s="96">
        <v>49.725999999999999</v>
      </c>
      <c r="H4" s="96">
        <v>1.0293099999999999</v>
      </c>
      <c r="I4" s="96">
        <v>5.3194999999999999E-2</v>
      </c>
      <c r="J4" s="96">
        <v>0.396451</v>
      </c>
      <c r="K4" s="96">
        <v>3.0723E-2</v>
      </c>
      <c r="L4" s="96">
        <v>0.21371799999999999</v>
      </c>
      <c r="M4" s="96" t="s">
        <v>1038</v>
      </c>
      <c r="N4" s="96" t="s">
        <v>1038</v>
      </c>
      <c r="O4" s="93">
        <v>97.577156999999985</v>
      </c>
    </row>
    <row r="5" spans="1:15" ht="14" customHeight="1">
      <c r="A5" s="2" t="s">
        <v>1175</v>
      </c>
      <c r="B5" s="2" t="s">
        <v>1172</v>
      </c>
      <c r="C5" s="96">
        <v>9.4879000000000005E-2</v>
      </c>
      <c r="D5" s="96">
        <v>45.929699999999997</v>
      </c>
      <c r="E5" s="96" t="s">
        <v>1038</v>
      </c>
      <c r="F5" s="96">
        <v>1.4624E-2</v>
      </c>
      <c r="G5" s="96">
        <v>49.582000000000001</v>
      </c>
      <c r="H5" s="96">
        <v>1.11751</v>
      </c>
      <c r="I5" s="96">
        <v>5.3172999999999998E-2</v>
      </c>
      <c r="J5" s="96">
        <v>0.51539000000000001</v>
      </c>
      <c r="K5" s="96">
        <v>6.8339999999999998E-3</v>
      </c>
      <c r="L5" s="96">
        <v>0.22795899999999999</v>
      </c>
      <c r="M5" s="96">
        <v>2.1913999999999999E-2</v>
      </c>
      <c r="N5" s="96" t="s">
        <v>1038</v>
      </c>
      <c r="O5" s="93">
        <v>97.563982999999979</v>
      </c>
    </row>
    <row r="6" spans="1:15" s="60" customFormat="1" ht="14" customHeight="1">
      <c r="A6" s="29" t="s">
        <v>281</v>
      </c>
      <c r="B6" s="29"/>
      <c r="C6" s="159">
        <v>8.1282999999999994E-2</v>
      </c>
      <c r="D6" s="159">
        <v>45.496729999999999</v>
      </c>
      <c r="E6" s="159" t="s">
        <v>1038</v>
      </c>
      <c r="F6" s="159">
        <v>1.9175000000000001E-2</v>
      </c>
      <c r="G6" s="159">
        <v>49.531478999999997</v>
      </c>
      <c r="H6" s="159">
        <v>1.061407</v>
      </c>
      <c r="I6" s="159">
        <v>4.2145000000000002E-2</v>
      </c>
      <c r="J6" s="159">
        <v>0.42063299999999998</v>
      </c>
      <c r="K6" s="159">
        <v>1.4518E-2</v>
      </c>
      <c r="L6" s="159">
        <v>0.202178</v>
      </c>
      <c r="M6" s="159">
        <v>1.5792E-2</v>
      </c>
      <c r="N6" s="159">
        <v>3.4363999999999999E-2</v>
      </c>
      <c r="O6" s="168">
        <v>96.919744750000007</v>
      </c>
    </row>
    <row r="7" spans="1:15" s="60" customFormat="1" ht="14" customHeight="1">
      <c r="A7" s="29" t="s">
        <v>204</v>
      </c>
      <c r="B7" s="29"/>
      <c r="C7" s="159">
        <v>1.7141303382959678E-2</v>
      </c>
      <c r="D7" s="159">
        <v>0.57102799999999998</v>
      </c>
      <c r="E7" s="159" t="s">
        <v>1038</v>
      </c>
      <c r="F7" s="159">
        <v>7.1739999999999998E-3</v>
      </c>
      <c r="G7" s="159">
        <v>0.34772399999999998</v>
      </c>
      <c r="H7" s="159">
        <v>3.9392999999999997E-2</v>
      </c>
      <c r="I7" s="159">
        <v>1.5007E-2</v>
      </c>
      <c r="J7" s="159">
        <v>7.4117000000000002E-2</v>
      </c>
      <c r="K7" s="159">
        <v>1.3764999999999999E-2</v>
      </c>
      <c r="L7" s="159">
        <v>2.3578000000000002E-2</v>
      </c>
      <c r="M7" s="159">
        <v>1.0754E-2</v>
      </c>
      <c r="N7" s="159">
        <v>4.4616999999999997E-2</v>
      </c>
      <c r="O7" s="159">
        <v>0.84302180440221985</v>
      </c>
    </row>
    <row r="8" spans="1:15" s="60" customFormat="1" ht="14" customHeight="1">
      <c r="A8" s="29" t="s">
        <v>1176</v>
      </c>
      <c r="B8" s="29"/>
      <c r="C8" s="159">
        <v>6.5855999999999998E-2</v>
      </c>
      <c r="D8" s="159">
        <v>44.982647</v>
      </c>
      <c r="E8" s="159" t="s">
        <v>1038</v>
      </c>
      <c r="F8" s="159">
        <v>1.1878E-2</v>
      </c>
      <c r="G8" s="159">
        <v>49.026657</v>
      </c>
      <c r="H8" s="159">
        <v>1.029307</v>
      </c>
      <c r="I8" s="159">
        <v>2.1405E-2</v>
      </c>
      <c r="J8" s="159">
        <v>0.33830300000000002</v>
      </c>
      <c r="K8" s="159" t="s">
        <v>1038</v>
      </c>
      <c r="L8" s="159">
        <v>0.174203</v>
      </c>
      <c r="M8" s="159" t="s">
        <v>1038</v>
      </c>
      <c r="N8" s="159" t="s">
        <v>1038</v>
      </c>
      <c r="O8" s="168">
        <v>95.801117999999988</v>
      </c>
    </row>
    <row r="9" spans="1:15" s="60" customFormat="1" ht="14" customHeight="1">
      <c r="A9" s="29" t="s">
        <v>1177</v>
      </c>
      <c r="B9" s="29"/>
      <c r="C9" s="159">
        <v>9.7312999999999997E-2</v>
      </c>
      <c r="D9" s="159">
        <v>46.048782000000003</v>
      </c>
      <c r="E9" s="159" t="s">
        <v>1038</v>
      </c>
      <c r="F9" s="159">
        <v>2.7362000000000001E-2</v>
      </c>
      <c r="G9" s="159">
        <v>49.791328</v>
      </c>
      <c r="H9" s="159">
        <v>1.117505</v>
      </c>
      <c r="I9" s="159">
        <v>5.3194999999999999E-2</v>
      </c>
      <c r="J9" s="159">
        <v>0.51539000000000001</v>
      </c>
      <c r="K9" s="159">
        <v>3.0723E-2</v>
      </c>
      <c r="L9" s="159">
        <v>0.22795899999999999</v>
      </c>
      <c r="M9" s="159">
        <v>2.3210999999999999E-2</v>
      </c>
      <c r="N9" s="159">
        <v>9.3714000000000006E-2</v>
      </c>
      <c r="O9" s="168">
        <v>97.577156999999985</v>
      </c>
    </row>
    <row r="10" spans="1:15" ht="14" customHeight="1">
      <c r="A10" s="2"/>
      <c r="B10" s="2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3"/>
    </row>
    <row r="11" spans="1:15" ht="14" customHeight="1">
      <c r="A11" s="2" t="s">
        <v>1178</v>
      </c>
      <c r="B11" s="2" t="s">
        <v>1179</v>
      </c>
      <c r="C11" s="96">
        <v>0.111147</v>
      </c>
      <c r="D11" s="96">
        <v>0.16068099999999999</v>
      </c>
      <c r="E11" s="96">
        <v>4.0112000000000002E-2</v>
      </c>
      <c r="F11" s="96">
        <v>0.11831</v>
      </c>
      <c r="G11" s="96">
        <v>91.223299999999995</v>
      </c>
      <c r="H11" s="96">
        <v>2.0212000000000001E-2</v>
      </c>
      <c r="I11" s="96">
        <v>3.5353000000000002E-2</v>
      </c>
      <c r="J11" s="96">
        <v>0.39492899999999997</v>
      </c>
      <c r="K11" s="96" t="s">
        <v>1038</v>
      </c>
      <c r="L11" s="96">
        <v>0.72246500000000002</v>
      </c>
      <c r="M11" s="96">
        <v>5.1219999999999998E-3</v>
      </c>
      <c r="N11" s="96" t="s">
        <v>1038</v>
      </c>
      <c r="O11" s="93">
        <v>92.831631000000002</v>
      </c>
    </row>
    <row r="12" spans="1:15" ht="14" customHeight="1">
      <c r="A12" s="2" t="s">
        <v>1180</v>
      </c>
      <c r="B12" s="2" t="s">
        <v>1179</v>
      </c>
      <c r="C12" s="96">
        <v>6.3866000000000006E-2</v>
      </c>
      <c r="D12" s="96">
        <v>0.27960200000000002</v>
      </c>
      <c r="E12" s="96">
        <v>1.2912E-2</v>
      </c>
      <c r="F12" s="96">
        <v>0.16430700000000001</v>
      </c>
      <c r="G12" s="96">
        <v>90.904200000000003</v>
      </c>
      <c r="H12" s="96">
        <v>2.7673E-2</v>
      </c>
      <c r="I12" s="96">
        <v>3.2612000000000002E-2</v>
      </c>
      <c r="J12" s="96">
        <v>0.334872</v>
      </c>
      <c r="K12" s="96" t="s">
        <v>1038</v>
      </c>
      <c r="L12" s="96">
        <v>0.74184000000000005</v>
      </c>
      <c r="M12" s="96" t="s">
        <v>1038</v>
      </c>
      <c r="N12" s="96" t="s">
        <v>1038</v>
      </c>
      <c r="O12" s="93">
        <v>92.561883999999992</v>
      </c>
    </row>
    <row r="13" spans="1:15" ht="14" customHeight="1">
      <c r="A13" s="2" t="s">
        <v>1181</v>
      </c>
      <c r="B13" s="2" t="s">
        <v>1179</v>
      </c>
      <c r="C13" s="96">
        <v>6.1759000000000001E-2</v>
      </c>
      <c r="D13" s="96">
        <v>0.48272999999999999</v>
      </c>
      <c r="E13" s="96">
        <v>1.1516999999999999E-2</v>
      </c>
      <c r="F13" s="96">
        <v>0.167625</v>
      </c>
      <c r="G13" s="96">
        <v>91.329599999999999</v>
      </c>
      <c r="H13" s="96">
        <v>3.4085999999999998E-2</v>
      </c>
      <c r="I13" s="96" t="s">
        <v>1038</v>
      </c>
      <c r="J13" s="96">
        <v>0.32961699999999999</v>
      </c>
      <c r="K13" s="96" t="s">
        <v>1038</v>
      </c>
      <c r="L13" s="96">
        <v>0.73872800000000005</v>
      </c>
      <c r="M13" s="96">
        <v>3.5881000000000003E-2</v>
      </c>
      <c r="N13" s="96">
        <v>6.2519000000000005E-2</v>
      </c>
      <c r="O13" s="93">
        <v>93.25406199999999</v>
      </c>
    </row>
    <row r="14" spans="1:15" ht="14" customHeight="1">
      <c r="A14" s="2" t="s">
        <v>1182</v>
      </c>
      <c r="B14" s="2" t="s">
        <v>1179</v>
      </c>
      <c r="C14" s="96">
        <v>4.8087999999999999E-2</v>
      </c>
      <c r="D14" s="96">
        <v>0.80497099999999999</v>
      </c>
      <c r="E14" s="96">
        <v>2.0929999999999998E-3</v>
      </c>
      <c r="F14" s="96">
        <v>0.14822299999999999</v>
      </c>
      <c r="G14" s="96">
        <v>91.508099999999999</v>
      </c>
      <c r="H14" s="96">
        <v>4.2625999999999997E-2</v>
      </c>
      <c r="I14" s="96" t="s">
        <v>1038</v>
      </c>
      <c r="J14" s="96">
        <v>0.33713500000000002</v>
      </c>
      <c r="K14" s="96" t="s">
        <v>1038</v>
      </c>
      <c r="L14" s="96">
        <v>0.72129900000000002</v>
      </c>
      <c r="M14" s="96">
        <v>5.7667999999999997E-2</v>
      </c>
      <c r="N14" s="96">
        <v>1.5088000000000001E-2</v>
      </c>
      <c r="O14" s="93">
        <v>93.685291000000021</v>
      </c>
    </row>
    <row r="15" spans="1:15" ht="14" customHeight="1">
      <c r="A15" s="2"/>
      <c r="B15" s="2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3"/>
    </row>
    <row r="16" spans="1:15" s="60" customFormat="1" ht="14" customHeight="1">
      <c r="A16" s="29" t="s">
        <v>281</v>
      </c>
      <c r="B16" s="29"/>
      <c r="C16" s="159">
        <v>7.1215000000000001E-2</v>
      </c>
      <c r="D16" s="159">
        <v>0.43199599999999999</v>
      </c>
      <c r="E16" s="159">
        <v>1.6659E-2</v>
      </c>
      <c r="F16" s="159">
        <v>0.149616</v>
      </c>
      <c r="G16" s="159">
        <v>91.241308000000004</v>
      </c>
      <c r="H16" s="159">
        <v>3.1149E-2</v>
      </c>
      <c r="I16" s="159">
        <v>1.6990999999999999E-2</v>
      </c>
      <c r="J16" s="159">
        <v>0.349138</v>
      </c>
      <c r="K16" s="159" t="s">
        <v>1038</v>
      </c>
      <c r="L16" s="159">
        <v>0.73108300000000004</v>
      </c>
      <c r="M16" s="159">
        <v>2.4667999999999999E-2</v>
      </c>
      <c r="N16" s="159">
        <v>1.9401999999999999E-2</v>
      </c>
      <c r="O16" s="168">
        <v>93.083216999999991</v>
      </c>
    </row>
    <row r="17" spans="1:15" s="60" customFormat="1" ht="14" customHeight="1">
      <c r="A17" s="29" t="s">
        <v>204</v>
      </c>
      <c r="B17" s="29"/>
      <c r="C17" s="159">
        <v>2.7525000000000001E-2</v>
      </c>
      <c r="D17" s="159">
        <v>0.28196900000000003</v>
      </c>
      <c r="E17" s="159">
        <v>1.6357E-2</v>
      </c>
      <c r="F17" s="159">
        <v>2.2525E-2</v>
      </c>
      <c r="G17" s="159">
        <v>0.25358000000000003</v>
      </c>
      <c r="H17" s="159">
        <v>9.5230000000000002E-3</v>
      </c>
      <c r="I17" s="159">
        <v>1.9651999999999999E-2</v>
      </c>
      <c r="J17" s="159">
        <v>3.0689999999999999E-2</v>
      </c>
      <c r="K17" s="159" t="s">
        <v>1038</v>
      </c>
      <c r="L17" s="159">
        <v>1.0711E-2</v>
      </c>
      <c r="M17" s="159">
        <v>2.7113000000000002E-2</v>
      </c>
      <c r="N17" s="159">
        <v>2.9611999999999999E-2</v>
      </c>
      <c r="O17" s="159">
        <v>0.49219397523944736</v>
      </c>
    </row>
    <row r="18" spans="1:15" s="60" customFormat="1" ht="14" customHeight="1">
      <c r="A18" s="29" t="s">
        <v>1176</v>
      </c>
      <c r="B18" s="29"/>
      <c r="C18" s="159">
        <v>4.8087999999999999E-2</v>
      </c>
      <c r="D18" s="159">
        <v>0.16068099999999999</v>
      </c>
      <c r="E18" s="159">
        <v>2.0929999999999998E-3</v>
      </c>
      <c r="F18" s="159">
        <v>0.118309</v>
      </c>
      <c r="G18" s="159">
        <v>90.904235999999997</v>
      </c>
      <c r="H18" s="159">
        <v>2.0212000000000001E-2</v>
      </c>
      <c r="I18" s="159" t="s">
        <v>1038</v>
      </c>
      <c r="J18" s="159">
        <v>0.32961699999999999</v>
      </c>
      <c r="K18" s="159" t="s">
        <v>1038</v>
      </c>
      <c r="L18" s="159">
        <v>0.72129900000000002</v>
      </c>
      <c r="M18" s="159" t="s">
        <v>1038</v>
      </c>
      <c r="N18" s="159" t="s">
        <v>1038</v>
      </c>
      <c r="O18" s="168">
        <v>92.561883999999992</v>
      </c>
    </row>
    <row r="19" spans="1:15" s="60" customFormat="1" ht="14" customHeight="1">
      <c r="A19" s="29" t="s">
        <v>1177</v>
      </c>
      <c r="B19" s="29"/>
      <c r="C19" s="159">
        <v>0.111147</v>
      </c>
      <c r="D19" s="159">
        <v>0.80497099999999999</v>
      </c>
      <c r="E19" s="159">
        <v>4.0112000000000002E-2</v>
      </c>
      <c r="F19" s="159">
        <v>0.167625</v>
      </c>
      <c r="G19" s="159">
        <v>91.508080000000007</v>
      </c>
      <c r="H19" s="159">
        <v>4.2625999999999997E-2</v>
      </c>
      <c r="I19" s="159">
        <v>3.5353000000000002E-2</v>
      </c>
      <c r="J19" s="159">
        <v>0.39492899999999997</v>
      </c>
      <c r="K19" s="159" t="s">
        <v>1038</v>
      </c>
      <c r="L19" s="159">
        <v>0.74184000000000005</v>
      </c>
      <c r="M19" s="159">
        <v>5.7667999999999997E-2</v>
      </c>
      <c r="N19" s="159">
        <v>6.2519000000000005E-2</v>
      </c>
      <c r="O19" s="168">
        <v>93.685291000000021</v>
      </c>
    </row>
    <row r="20" spans="1:15" ht="14" customHeight="1">
      <c r="A20" s="2"/>
      <c r="B20" s="2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3"/>
    </row>
    <row r="21" spans="1:15" ht="14" customHeight="1">
      <c r="A21" s="2" t="s">
        <v>1183</v>
      </c>
      <c r="B21" s="2" t="s">
        <v>1172</v>
      </c>
      <c r="C21" s="96">
        <v>1.5589E-2</v>
      </c>
      <c r="D21" s="96">
        <v>47.280999999999999</v>
      </c>
      <c r="E21" s="96" t="s">
        <v>1038</v>
      </c>
      <c r="F21" s="96">
        <v>8.2509999999999997E-3</v>
      </c>
      <c r="G21" s="96">
        <v>47.754899999999999</v>
      </c>
      <c r="H21" s="96">
        <v>1.2165999999999999</v>
      </c>
      <c r="I21" s="96">
        <v>8.8098999999999997E-2</v>
      </c>
      <c r="J21" s="96">
        <v>0.10298599999999999</v>
      </c>
      <c r="K21" s="96" t="s">
        <v>1038</v>
      </c>
      <c r="L21" s="96">
        <v>6.1414000000000003E-2</v>
      </c>
      <c r="M21" s="96">
        <v>2.3171000000000001E-2</v>
      </c>
      <c r="N21" s="96">
        <v>4.5683000000000001E-2</v>
      </c>
      <c r="O21" s="93">
        <v>96.597693000000007</v>
      </c>
    </row>
    <row r="22" spans="1:15" ht="14" customHeight="1">
      <c r="A22" s="2" t="s">
        <v>1184</v>
      </c>
      <c r="B22" s="2" t="s">
        <v>1172</v>
      </c>
      <c r="C22" s="96">
        <v>3.0266999999999999E-2</v>
      </c>
      <c r="D22" s="96">
        <v>47.752099999999999</v>
      </c>
      <c r="E22" s="96" t="s">
        <v>1038</v>
      </c>
      <c r="F22" s="96">
        <v>6.3990000000000002E-3</v>
      </c>
      <c r="G22" s="96">
        <v>49.390300000000003</v>
      </c>
      <c r="H22" s="96">
        <v>1.20122</v>
      </c>
      <c r="I22" s="96">
        <v>8.4681000000000006E-2</v>
      </c>
      <c r="J22" s="96">
        <v>8.8666999999999996E-2</v>
      </c>
      <c r="K22" s="96" t="s">
        <v>1038</v>
      </c>
      <c r="L22" s="96">
        <v>4.5976999999999997E-2</v>
      </c>
      <c r="M22" s="96">
        <v>3.8580999999999997E-2</v>
      </c>
      <c r="N22" s="96">
        <v>4.5664999999999997E-2</v>
      </c>
      <c r="O22" s="93">
        <v>98.683857000000003</v>
      </c>
    </row>
    <row r="23" spans="1:15" ht="14" customHeight="1">
      <c r="A23" s="2" t="s">
        <v>1185</v>
      </c>
      <c r="B23" s="2" t="s">
        <v>1172</v>
      </c>
      <c r="C23" s="96">
        <v>2.537E-2</v>
      </c>
      <c r="D23" s="96">
        <v>47.6614</v>
      </c>
      <c r="E23" s="96" t="s">
        <v>1038</v>
      </c>
      <c r="F23" s="96">
        <v>0</v>
      </c>
      <c r="G23" s="96">
        <v>49.874099999999999</v>
      </c>
      <c r="H23" s="96">
        <v>1.1541999999999999</v>
      </c>
      <c r="I23" s="96">
        <v>8.1229999999999997E-2</v>
      </c>
      <c r="J23" s="96">
        <v>9.6632999999999997E-2</v>
      </c>
      <c r="K23" s="96">
        <v>1.3605000000000001E-2</v>
      </c>
      <c r="L23" s="96">
        <v>9.4950000000000007E-2</v>
      </c>
      <c r="M23" s="96">
        <v>2.4421999999999999E-2</v>
      </c>
      <c r="N23" s="96">
        <v>4.5651999999999998E-2</v>
      </c>
      <c r="O23" s="93">
        <v>99.071562</v>
      </c>
    </row>
    <row r="24" spans="1:15" ht="14" customHeight="1">
      <c r="A24" s="2" t="s">
        <v>1186</v>
      </c>
      <c r="B24" s="2" t="s">
        <v>1172</v>
      </c>
      <c r="C24" s="96" t="s">
        <v>1038</v>
      </c>
      <c r="D24" s="96">
        <v>47.902999999999999</v>
      </c>
      <c r="E24" s="96" t="s">
        <v>1038</v>
      </c>
      <c r="F24" s="96">
        <v>2.1031000000000001E-2</v>
      </c>
      <c r="G24" s="96">
        <v>49.063400000000001</v>
      </c>
      <c r="H24" s="96">
        <v>1.28532</v>
      </c>
      <c r="I24" s="96">
        <v>9.4492999999999994E-2</v>
      </c>
      <c r="J24" s="96">
        <v>0.102661</v>
      </c>
      <c r="K24" s="96">
        <v>5.7696999999999998E-2</v>
      </c>
      <c r="L24" s="96">
        <v>8.1100000000000005E-2</v>
      </c>
      <c r="M24" s="96" t="s">
        <v>1038</v>
      </c>
      <c r="N24" s="96">
        <v>5.8075000000000002E-2</v>
      </c>
      <c r="O24" s="93">
        <v>98.66677700000001</v>
      </c>
    </row>
    <row r="25" spans="1:15" ht="14" customHeight="1">
      <c r="A25" s="2"/>
      <c r="B25" s="2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3"/>
    </row>
    <row r="26" spans="1:15" s="60" customFormat="1" ht="14" customHeight="1">
      <c r="A26" s="29" t="s">
        <v>281</v>
      </c>
      <c r="B26" s="29"/>
      <c r="C26" s="159">
        <v>1.7807E-2</v>
      </c>
      <c r="D26" s="159">
        <v>47.649375999999997</v>
      </c>
      <c r="E26" s="159" t="s">
        <v>1038</v>
      </c>
      <c r="F26" s="159">
        <v>8.9200000000000008E-3</v>
      </c>
      <c r="G26" s="159">
        <v>49.020659999999999</v>
      </c>
      <c r="H26" s="159">
        <v>1.214337</v>
      </c>
      <c r="I26" s="159">
        <v>8.7125999999999995E-2</v>
      </c>
      <c r="J26" s="159">
        <v>9.7736000000000003E-2</v>
      </c>
      <c r="K26" s="159">
        <v>1.7826000000000002E-2</v>
      </c>
      <c r="L26" s="159">
        <v>7.0860000000000006E-2</v>
      </c>
      <c r="M26" s="159">
        <v>2.1544000000000001E-2</v>
      </c>
      <c r="N26" s="159">
        <v>4.8769E-2</v>
      </c>
      <c r="O26" s="168">
        <v>98.254972250000009</v>
      </c>
    </row>
    <row r="27" spans="1:15" s="60" customFormat="1" ht="14" customHeight="1">
      <c r="A27" s="29" t="s">
        <v>204</v>
      </c>
      <c r="B27" s="29"/>
      <c r="C27" s="159">
        <v>1.3348E-2</v>
      </c>
      <c r="D27" s="159">
        <v>0.26500499999999999</v>
      </c>
      <c r="E27" s="159" t="s">
        <v>1038</v>
      </c>
      <c r="F27" s="159">
        <v>8.8140000000000007E-3</v>
      </c>
      <c r="G27" s="159">
        <v>0.90718299999999996</v>
      </c>
      <c r="H27" s="159">
        <v>5.4260999999999997E-2</v>
      </c>
      <c r="I27" s="159">
        <v>5.6559999999999996E-3</v>
      </c>
      <c r="J27" s="159">
        <v>6.7149999999999996E-3</v>
      </c>
      <c r="K27" s="159">
        <v>2.7344E-2</v>
      </c>
      <c r="L27" s="159">
        <v>2.1552999999999999E-2</v>
      </c>
      <c r="M27" s="159">
        <v>1.5972E-2</v>
      </c>
      <c r="N27" s="159">
        <v>6.2040000000000003E-3</v>
      </c>
      <c r="O27" s="159">
        <v>1.1205532284234634</v>
      </c>
    </row>
    <row r="28" spans="1:15" s="60" customFormat="1" ht="14" customHeight="1">
      <c r="A28" s="29" t="s">
        <v>1176</v>
      </c>
      <c r="B28" s="29"/>
      <c r="C28" s="159" t="s">
        <v>1038</v>
      </c>
      <c r="D28" s="159">
        <v>47.281033000000001</v>
      </c>
      <c r="E28" s="159" t="s">
        <v>1038</v>
      </c>
      <c r="F28" s="159">
        <v>0</v>
      </c>
      <c r="G28" s="159">
        <v>47.754879000000003</v>
      </c>
      <c r="H28" s="159">
        <v>1.1541999999999999</v>
      </c>
      <c r="I28" s="159">
        <v>8.1229999999999997E-2</v>
      </c>
      <c r="J28" s="159">
        <v>8.8666999999999996E-2</v>
      </c>
      <c r="K28" s="159" t="s">
        <v>1038</v>
      </c>
      <c r="L28" s="159">
        <v>4.5976999999999997E-2</v>
      </c>
      <c r="M28" s="159" t="s">
        <v>1038</v>
      </c>
      <c r="N28" s="159">
        <v>4.5651999999999998E-2</v>
      </c>
      <c r="O28" s="168">
        <v>96.597693000000007</v>
      </c>
    </row>
    <row r="29" spans="1:15" s="60" customFormat="1" ht="14" customHeight="1">
      <c r="A29" s="29" t="s">
        <v>1177</v>
      </c>
      <c r="B29" s="29"/>
      <c r="C29" s="159">
        <v>3.0266999999999999E-2</v>
      </c>
      <c r="D29" s="159">
        <v>47.902968999999999</v>
      </c>
      <c r="E29" s="159" t="s">
        <v>1038</v>
      </c>
      <c r="F29" s="159">
        <v>2.1031000000000001E-2</v>
      </c>
      <c r="G29" s="159">
        <v>49.874062000000002</v>
      </c>
      <c r="H29" s="159">
        <v>1.2853239999999999</v>
      </c>
      <c r="I29" s="159">
        <v>9.4492999999999994E-2</v>
      </c>
      <c r="J29" s="159">
        <v>0.10298599999999999</v>
      </c>
      <c r="K29" s="159">
        <v>5.7696999999999998E-2</v>
      </c>
      <c r="L29" s="159">
        <v>9.4950000000000007E-2</v>
      </c>
      <c r="M29" s="159">
        <v>3.8580999999999997E-2</v>
      </c>
      <c r="N29" s="159">
        <v>5.8075000000000002E-2</v>
      </c>
      <c r="O29" s="168">
        <v>99.071562</v>
      </c>
    </row>
    <row r="30" spans="1:15" ht="14" customHeight="1">
      <c r="A30" s="2"/>
      <c r="B30" s="2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3"/>
    </row>
    <row r="31" spans="1:15" ht="14" customHeight="1">
      <c r="A31" s="2" t="s">
        <v>1187</v>
      </c>
      <c r="B31" s="2" t="s">
        <v>1179</v>
      </c>
      <c r="C31" s="96">
        <v>3.9267999999999997E-2</v>
      </c>
      <c r="D31" s="96">
        <v>1.38585</v>
      </c>
      <c r="E31" s="96">
        <v>7.332E-3</v>
      </c>
      <c r="F31" s="96">
        <v>6.1122999999999997E-2</v>
      </c>
      <c r="G31" s="96">
        <v>91.927899999999994</v>
      </c>
      <c r="H31" s="96">
        <v>1.9196999999999999E-2</v>
      </c>
      <c r="I31" s="96">
        <v>1.3826E-2</v>
      </c>
      <c r="J31" s="96">
        <v>0.13653999999999999</v>
      </c>
      <c r="K31" s="96" t="s">
        <v>1038</v>
      </c>
      <c r="L31" s="96">
        <v>0.550153</v>
      </c>
      <c r="M31" s="96">
        <v>6.0270999999999998E-2</v>
      </c>
      <c r="N31" s="96" t="s">
        <v>1038</v>
      </c>
      <c r="O31" s="93">
        <v>94.201459999999983</v>
      </c>
    </row>
    <row r="32" spans="1:15" ht="14" customHeight="1">
      <c r="A32" s="2" t="s">
        <v>1188</v>
      </c>
      <c r="B32" s="2" t="s">
        <v>1179</v>
      </c>
      <c r="C32" s="96">
        <v>5.2711000000000001E-2</v>
      </c>
      <c r="D32" s="96">
        <v>1.573</v>
      </c>
      <c r="E32" s="96">
        <v>3.5236000000000003E-2</v>
      </c>
      <c r="F32" s="96">
        <v>6.3370999999999997E-2</v>
      </c>
      <c r="G32" s="96">
        <v>92.102400000000003</v>
      </c>
      <c r="H32" s="96">
        <v>4.3732E-2</v>
      </c>
      <c r="I32" s="96">
        <v>1.3812E-2</v>
      </c>
      <c r="J32" s="96">
        <v>0.13233200000000001</v>
      </c>
      <c r="K32" s="96" t="s">
        <v>1038</v>
      </c>
      <c r="L32" s="96">
        <v>0.53261700000000001</v>
      </c>
      <c r="M32" s="96" t="s">
        <v>1038</v>
      </c>
      <c r="N32" s="96">
        <v>4.9586999999999999E-2</v>
      </c>
      <c r="O32" s="93">
        <v>94.598798000000016</v>
      </c>
    </row>
    <row r="33" spans="1:15" ht="14" customHeight="1">
      <c r="A33" s="2" t="s">
        <v>1189</v>
      </c>
      <c r="B33" s="2" t="s">
        <v>1179</v>
      </c>
      <c r="C33" s="96">
        <v>5.8650000000000001E-2</v>
      </c>
      <c r="D33" s="96">
        <v>1.57877</v>
      </c>
      <c r="E33" s="96" t="s">
        <v>1038</v>
      </c>
      <c r="F33" s="96">
        <v>5.6927999999999999E-2</v>
      </c>
      <c r="G33" s="96">
        <v>92.069900000000004</v>
      </c>
      <c r="H33" s="96">
        <v>8.5279999999999995E-2</v>
      </c>
      <c r="I33" s="96" t="s">
        <v>1038</v>
      </c>
      <c r="J33" s="96">
        <v>0.12096700000000001</v>
      </c>
      <c r="K33" s="96" t="s">
        <v>1038</v>
      </c>
      <c r="L33" s="96">
        <v>0.53219899999999998</v>
      </c>
      <c r="M33" s="96">
        <v>8.9691999999999994E-2</v>
      </c>
      <c r="N33" s="96">
        <v>2.3705E-2</v>
      </c>
      <c r="O33" s="93">
        <v>94.616091000000011</v>
      </c>
    </row>
    <row r="34" spans="1:15" ht="14" customHeight="1">
      <c r="A34" s="2" t="s">
        <v>1190</v>
      </c>
      <c r="B34" s="2" t="s">
        <v>1179</v>
      </c>
      <c r="C34" s="96">
        <v>5.2680999999999999E-2</v>
      </c>
      <c r="D34" s="96">
        <v>1.3297000000000001</v>
      </c>
      <c r="E34" s="96">
        <v>2.0924000000000002E-2</v>
      </c>
      <c r="F34" s="96">
        <v>5.6022000000000002E-2</v>
      </c>
      <c r="G34" s="96">
        <v>92.723399999999998</v>
      </c>
      <c r="H34" s="96">
        <v>1.8105E-2</v>
      </c>
      <c r="I34" s="96">
        <v>3.8679999999999999E-3</v>
      </c>
      <c r="J34" s="96">
        <v>0.128526</v>
      </c>
      <c r="K34" s="96" t="s">
        <v>1038</v>
      </c>
      <c r="L34" s="96">
        <v>0.53702799999999995</v>
      </c>
      <c r="M34" s="96">
        <v>2.1773000000000001E-2</v>
      </c>
      <c r="N34" s="96">
        <v>2.1540000000000001E-3</v>
      </c>
      <c r="O34" s="93">
        <v>94.894181000000003</v>
      </c>
    </row>
    <row r="35" spans="1:15" ht="14" customHeight="1">
      <c r="A35" s="2"/>
      <c r="B35" s="2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3"/>
    </row>
    <row r="36" spans="1:15" s="60" customFormat="1" ht="14" customHeight="1">
      <c r="A36" s="29" t="s">
        <v>281</v>
      </c>
      <c r="B36" s="29"/>
      <c r="C36" s="159">
        <v>5.0827999999999998E-2</v>
      </c>
      <c r="D36" s="159">
        <v>1.466828</v>
      </c>
      <c r="E36" s="159">
        <v>1.5873000000000002E-2</v>
      </c>
      <c r="F36" s="159">
        <v>5.9360999999999997E-2</v>
      </c>
      <c r="G36" s="159">
        <v>92.205881000000005</v>
      </c>
      <c r="H36" s="159">
        <v>4.1577999999999997E-2</v>
      </c>
      <c r="I36" s="159">
        <v>7.8759999999999993E-3</v>
      </c>
      <c r="J36" s="159">
        <v>0.12959100000000001</v>
      </c>
      <c r="K36" s="159" t="s">
        <v>1038</v>
      </c>
      <c r="L36" s="159">
        <v>0.537999</v>
      </c>
      <c r="M36" s="159">
        <v>4.2934E-2</v>
      </c>
      <c r="N36" s="159">
        <v>1.8860999999999999E-2</v>
      </c>
      <c r="O36" s="168">
        <v>94.577632499999993</v>
      </c>
    </row>
    <row r="37" spans="1:15" s="60" customFormat="1" ht="14" customHeight="1">
      <c r="A37" s="29" t="s">
        <v>204</v>
      </c>
      <c r="B37" s="29"/>
      <c r="C37" s="159">
        <v>8.2019999999999992E-3</v>
      </c>
      <c r="D37" s="159">
        <v>0.12801699999999999</v>
      </c>
      <c r="E37" s="159">
        <v>1.5549E-2</v>
      </c>
      <c r="F37" s="159">
        <v>3.4759999999999999E-3</v>
      </c>
      <c r="G37" s="159">
        <v>0.35320400000000002</v>
      </c>
      <c r="H37" s="159">
        <v>3.1445000000000001E-2</v>
      </c>
      <c r="I37" s="159">
        <v>7.0410000000000004E-3</v>
      </c>
      <c r="J37" s="159">
        <v>6.6160000000000004E-3</v>
      </c>
      <c r="K37" s="159" t="s">
        <v>1038</v>
      </c>
      <c r="L37" s="159">
        <v>8.3920000000000002E-3</v>
      </c>
      <c r="M37" s="159">
        <v>3.9907999999999999E-2</v>
      </c>
      <c r="N37" s="159">
        <v>2.3111E-2</v>
      </c>
      <c r="O37" s="159">
        <v>0.28497703838556088</v>
      </c>
    </row>
    <row r="38" spans="1:15" s="60" customFormat="1" ht="14" customHeight="1">
      <c r="A38" s="29" t="s">
        <v>1176</v>
      </c>
      <c r="B38" s="29"/>
      <c r="C38" s="159">
        <v>3.9267999999999997E-2</v>
      </c>
      <c r="D38" s="159">
        <v>1.3297000000000001</v>
      </c>
      <c r="E38" s="159" t="s">
        <v>1038</v>
      </c>
      <c r="F38" s="159">
        <v>5.6022000000000002E-2</v>
      </c>
      <c r="G38" s="159">
        <v>91.927879000000004</v>
      </c>
      <c r="H38" s="159">
        <v>1.8105E-2</v>
      </c>
      <c r="I38" s="159" t="s">
        <v>1038</v>
      </c>
      <c r="J38" s="159">
        <v>0.12096700000000001</v>
      </c>
      <c r="K38" s="159" t="s">
        <v>1038</v>
      </c>
      <c r="L38" s="159">
        <v>0.53219899999999998</v>
      </c>
      <c r="M38" s="159" t="s">
        <v>1038</v>
      </c>
      <c r="N38" s="159" t="s">
        <v>1038</v>
      </c>
      <c r="O38" s="168">
        <v>94.201459999999983</v>
      </c>
    </row>
    <row r="39" spans="1:15" s="60" customFormat="1" ht="14" customHeight="1">
      <c r="A39" s="29" t="s">
        <v>1177</v>
      </c>
      <c r="B39" s="29"/>
      <c r="C39" s="159">
        <v>5.8650000000000001E-2</v>
      </c>
      <c r="D39" s="159">
        <v>1.5787659999999999</v>
      </c>
      <c r="E39" s="159">
        <v>3.5236000000000003E-2</v>
      </c>
      <c r="F39" s="159">
        <v>6.3370999999999997E-2</v>
      </c>
      <c r="G39" s="159">
        <v>92.723350999999994</v>
      </c>
      <c r="H39" s="159">
        <v>8.5279999999999995E-2</v>
      </c>
      <c r="I39" s="159">
        <v>1.3826E-2</v>
      </c>
      <c r="J39" s="159">
        <v>0.13653999999999999</v>
      </c>
      <c r="K39" s="159" t="s">
        <v>1038</v>
      </c>
      <c r="L39" s="159">
        <v>0.550153</v>
      </c>
      <c r="M39" s="159">
        <v>8.9691999999999994E-2</v>
      </c>
      <c r="N39" s="159">
        <v>4.9586999999999999E-2</v>
      </c>
      <c r="O39" s="168">
        <v>94.894181000000003</v>
      </c>
    </row>
    <row r="40" spans="1:15" ht="14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4" customHeight="1">
      <c r="A41" s="284" t="s">
        <v>1014</v>
      </c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</row>
    <row r="42" spans="1:15" ht="14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4" customHeight="1">
      <c r="A43" s="34" t="s">
        <v>1132</v>
      </c>
      <c r="B43" s="2" t="s">
        <v>1191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4" customHeight="1">
      <c r="A44" s="34" t="s">
        <v>1134</v>
      </c>
      <c r="B44" s="2" t="s">
        <v>1192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4" customHeight="1">
      <c r="A45" s="34" t="s">
        <v>1136</v>
      </c>
      <c r="B45" s="2" t="s">
        <v>1137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4" customHeight="1">
      <c r="A46" s="34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4" customHeight="1">
      <c r="A47" s="276" t="s">
        <v>1193</v>
      </c>
      <c r="B47" s="277" t="s">
        <v>1194</v>
      </c>
      <c r="C47" s="277" t="s">
        <v>1195</v>
      </c>
      <c r="D47" s="277" t="s">
        <v>1196</v>
      </c>
      <c r="E47" s="277" t="s">
        <v>1197</v>
      </c>
      <c r="F47" s="277" t="s">
        <v>1198</v>
      </c>
      <c r="G47" s="277" t="s">
        <v>1199</v>
      </c>
      <c r="H47" s="277" t="s">
        <v>1200</v>
      </c>
      <c r="I47" s="277" t="s">
        <v>1201</v>
      </c>
      <c r="J47" s="277" t="s">
        <v>1202</v>
      </c>
      <c r="K47" s="277" t="s">
        <v>1203</v>
      </c>
      <c r="L47" s="277" t="s">
        <v>1204</v>
      </c>
      <c r="M47" s="278" t="s">
        <v>1205</v>
      </c>
      <c r="N47" s="2"/>
      <c r="O47" s="2"/>
    </row>
    <row r="48" spans="1:15" ht="14" customHeight="1">
      <c r="A48" s="279" t="s">
        <v>1206</v>
      </c>
      <c r="B48" s="98" t="s">
        <v>1207</v>
      </c>
      <c r="C48" s="98" t="s">
        <v>1207</v>
      </c>
      <c r="D48" s="98" t="s">
        <v>1208</v>
      </c>
      <c r="E48" s="98" t="s">
        <v>1208</v>
      </c>
      <c r="F48" s="98" t="s">
        <v>1209</v>
      </c>
      <c r="G48" s="98" t="s">
        <v>1209</v>
      </c>
      <c r="H48" s="98" t="s">
        <v>1209</v>
      </c>
      <c r="I48" s="98" t="s">
        <v>1210</v>
      </c>
      <c r="J48" s="98" t="s">
        <v>1210</v>
      </c>
      <c r="K48" s="98" t="s">
        <v>1210</v>
      </c>
      <c r="L48" s="98" t="s">
        <v>1208</v>
      </c>
      <c r="M48" s="280" t="s">
        <v>1208</v>
      </c>
      <c r="N48" s="2"/>
      <c r="O48" s="2"/>
    </row>
    <row r="49" spans="1:15" ht="14" customHeight="1">
      <c r="A49" s="279" t="s">
        <v>1211</v>
      </c>
      <c r="B49" s="98">
        <v>30</v>
      </c>
      <c r="C49" s="98">
        <v>30</v>
      </c>
      <c r="D49" s="98">
        <v>20</v>
      </c>
      <c r="E49" s="98">
        <v>20</v>
      </c>
      <c r="F49" s="98">
        <v>20</v>
      </c>
      <c r="G49" s="98">
        <v>30</v>
      </c>
      <c r="H49" s="98">
        <v>20</v>
      </c>
      <c r="I49" s="98">
        <v>20</v>
      </c>
      <c r="J49" s="98">
        <v>20</v>
      </c>
      <c r="K49" s="98">
        <v>30</v>
      </c>
      <c r="L49" s="98">
        <v>30</v>
      </c>
      <c r="M49" s="280">
        <v>20</v>
      </c>
      <c r="N49" s="2"/>
      <c r="O49" s="2"/>
    </row>
    <row r="50" spans="1:15" ht="14" customHeight="1">
      <c r="A50" s="279" t="s">
        <v>1212</v>
      </c>
      <c r="B50" s="98">
        <v>30</v>
      </c>
      <c r="C50" s="98">
        <v>30</v>
      </c>
      <c r="D50" s="98">
        <v>20</v>
      </c>
      <c r="E50" s="98">
        <v>20</v>
      </c>
      <c r="F50" s="98">
        <v>20</v>
      </c>
      <c r="G50" s="98">
        <v>30</v>
      </c>
      <c r="H50" s="98">
        <v>20</v>
      </c>
      <c r="I50" s="98">
        <v>20</v>
      </c>
      <c r="J50" s="98">
        <v>20</v>
      </c>
      <c r="K50" s="98">
        <v>30</v>
      </c>
      <c r="L50" s="98">
        <v>30</v>
      </c>
      <c r="M50" s="280">
        <v>20</v>
      </c>
      <c r="N50" s="2"/>
      <c r="O50" s="2"/>
    </row>
    <row r="51" spans="1:15" ht="14" customHeight="1">
      <c r="A51" s="279" t="s">
        <v>1213</v>
      </c>
      <c r="B51" s="98">
        <v>1.3353E-2</v>
      </c>
      <c r="C51" s="98">
        <v>4.8597000000000001E-2</v>
      </c>
      <c r="D51" s="98">
        <v>8.6263000000000006E-2</v>
      </c>
      <c r="E51" s="98">
        <v>1.3495999999999999E-2</v>
      </c>
      <c r="F51" s="98">
        <v>4.2410000000000003E-2</v>
      </c>
      <c r="G51" s="98">
        <v>3.3557999999999998E-2</v>
      </c>
      <c r="H51" s="98">
        <v>4.8196000000000003E-2</v>
      </c>
      <c r="I51" s="98">
        <v>2.9374999999999998E-2</v>
      </c>
      <c r="J51" s="98">
        <v>2.5971000000000001E-2</v>
      </c>
      <c r="K51" s="98">
        <v>2.1691999999999999E-2</v>
      </c>
      <c r="L51" s="98">
        <v>8.1899999999999994E-3</v>
      </c>
      <c r="M51" s="280">
        <v>1.15E-2</v>
      </c>
      <c r="N51" s="2"/>
      <c r="O51" s="2"/>
    </row>
    <row r="52" spans="1:15" ht="14" customHeight="1">
      <c r="A52" s="281" t="s">
        <v>1214</v>
      </c>
      <c r="B52" s="286" t="s">
        <v>1215</v>
      </c>
      <c r="C52" s="286" t="s">
        <v>1216</v>
      </c>
      <c r="D52" s="286" t="s">
        <v>1217</v>
      </c>
      <c r="E52" s="286" t="s">
        <v>1218</v>
      </c>
      <c r="F52" s="286" t="s">
        <v>1219</v>
      </c>
      <c r="G52" s="286" t="s">
        <v>1216</v>
      </c>
      <c r="H52" s="286" t="s">
        <v>1220</v>
      </c>
      <c r="I52" s="286" t="s">
        <v>1221</v>
      </c>
      <c r="J52" s="286" t="s">
        <v>1218</v>
      </c>
      <c r="K52" s="286" t="s">
        <v>1222</v>
      </c>
      <c r="L52" s="286" t="s">
        <v>1215</v>
      </c>
      <c r="M52" s="287" t="s">
        <v>1218</v>
      </c>
      <c r="N52" s="2"/>
      <c r="O52" s="2"/>
    </row>
    <row r="53" spans="1:15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A5.1 (LOI &lt; 2.5 wt. %)</vt:lpstr>
      <vt:lpstr>Table A5.1 (LOI &lt; 2 wt. %)</vt:lpstr>
      <vt:lpstr>Table A5.2</vt:lpstr>
      <vt:lpstr>Table A5.3</vt:lpstr>
      <vt:lpstr>Table A5.4</vt:lpstr>
      <vt:lpstr>Table A5.5 (Ap, GeoLabs)</vt:lpstr>
      <vt:lpstr>Table A5.5 (Amp, XPS)</vt:lpstr>
      <vt:lpstr>Table A.5.5 (Mt-IL, Ottawa)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2021-06-25T03:29:44Z</dcterms:modified>
</cp:coreProperties>
</file>